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15сесія 8 скликання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Лист1!$A$8:$AZ$188</definedName>
    <definedName name="_xlnm.Print_Area" localSheetId="0">Лист1!$A$1:$J$190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9" i="1" l="1"/>
  <c r="M82" i="1" l="1"/>
  <c r="I175" i="1" l="1"/>
  <c r="I85" i="1"/>
  <c r="I40" i="1"/>
  <c r="I35" i="1"/>
  <c r="I29" i="1"/>
  <c r="I26" i="1"/>
  <c r="L60" i="1" l="1"/>
  <c r="L166" i="1"/>
  <c r="L170" i="1" l="1"/>
  <c r="L171" i="1"/>
  <c r="I187" i="1" l="1"/>
  <c r="M163" i="1" l="1"/>
  <c r="G163" i="1"/>
  <c r="G162" i="1"/>
  <c r="G161" i="1"/>
  <c r="M161" i="1"/>
  <c r="M162" i="1"/>
  <c r="L111" i="1" l="1"/>
  <c r="L110" i="1"/>
  <c r="L71" i="1" l="1"/>
  <c r="I160" i="1"/>
  <c r="M160" i="1" s="1"/>
  <c r="G88" i="1"/>
  <c r="I140" i="1"/>
  <c r="I139" i="1" s="1"/>
  <c r="I141" i="1"/>
  <c r="G141" i="1" s="1"/>
  <c r="M84" i="1"/>
  <c r="M174" i="1"/>
  <c r="L140" i="1" l="1"/>
  <c r="L9" i="1"/>
  <c r="L62" i="1" l="1"/>
  <c r="L26" i="1"/>
  <c r="L56" i="1" l="1"/>
  <c r="M168" i="1"/>
  <c r="M169" i="1"/>
  <c r="M170" i="1"/>
  <c r="M171" i="1"/>
  <c r="M172" i="1"/>
  <c r="M173" i="1"/>
  <c r="M156" i="1"/>
  <c r="M157" i="1"/>
  <c r="M158" i="1"/>
  <c r="M159" i="1"/>
  <c r="L72" i="1"/>
  <c r="L66" i="1"/>
  <c r="M66" i="1" s="1"/>
  <c r="L187" i="1"/>
  <c r="L109" i="1"/>
  <c r="L91" i="1"/>
  <c r="M113" i="1" l="1"/>
  <c r="I119" i="1" l="1"/>
  <c r="I92" i="1" s="1"/>
  <c r="I136" i="1"/>
  <c r="M136" i="1" s="1"/>
  <c r="I91" i="1" l="1"/>
  <c r="I90" i="1" s="1"/>
  <c r="M25" i="1"/>
  <c r="M138" i="1"/>
  <c r="M95" i="1"/>
  <c r="M112" i="1"/>
  <c r="M111" i="1"/>
  <c r="I48" i="1" l="1"/>
  <c r="M58" i="1"/>
  <c r="M57" i="1"/>
  <c r="M54" i="1"/>
  <c r="M53" i="1"/>
  <c r="M56" i="1"/>
  <c r="M55" i="1"/>
  <c r="M52" i="1"/>
  <c r="M51" i="1"/>
  <c r="I22" i="1"/>
  <c r="I21" i="1"/>
  <c r="M141" i="1"/>
  <c r="M142" i="1"/>
  <c r="M143" i="1"/>
  <c r="L46" i="1" l="1"/>
  <c r="M63" i="1" l="1"/>
  <c r="I78" i="1" l="1"/>
  <c r="L94" i="1" l="1"/>
  <c r="L93" i="1"/>
  <c r="G32" i="1" l="1"/>
  <c r="M178" i="1" l="1"/>
  <c r="M167" i="1"/>
  <c r="L16" i="1" l="1"/>
  <c r="L8" i="1" s="1"/>
  <c r="L99" i="1" l="1"/>
  <c r="L98" i="1"/>
  <c r="L96" i="1"/>
  <c r="M155" i="1" l="1"/>
  <c r="M154" i="1"/>
  <c r="L145" i="1" l="1"/>
  <c r="M89" i="1" l="1"/>
  <c r="G135" i="1" l="1"/>
  <c r="G132" i="1"/>
  <c r="G134" i="1"/>
  <c r="G119" i="1"/>
  <c r="M42" i="1" l="1"/>
  <c r="G116" i="1" l="1"/>
  <c r="G117" i="1"/>
  <c r="G115" i="1"/>
  <c r="G111" i="1"/>
  <c r="G110" i="1"/>
  <c r="G109" i="1"/>
  <c r="G94" i="1"/>
  <c r="G96" i="1"/>
  <c r="G97" i="1"/>
  <c r="G98" i="1"/>
  <c r="G99" i="1"/>
  <c r="G93" i="1"/>
  <c r="G37" i="1"/>
  <c r="G38" i="1"/>
  <c r="G39" i="1"/>
  <c r="G36" i="1"/>
  <c r="G33" i="1"/>
  <c r="G34" i="1"/>
  <c r="G30" i="1"/>
  <c r="G28" i="1"/>
  <c r="G27" i="1"/>
  <c r="I179" i="1" l="1"/>
  <c r="M182" i="1"/>
  <c r="M15" i="1"/>
  <c r="G15" i="1"/>
  <c r="M12" i="1"/>
  <c r="M16" i="1"/>
  <c r="M105" i="1" l="1"/>
  <c r="M106" i="1"/>
  <c r="M107" i="1"/>
  <c r="M108" i="1"/>
  <c r="G74" i="1"/>
  <c r="G75" i="1"/>
  <c r="G76" i="1"/>
  <c r="G77" i="1"/>
  <c r="G78" i="1"/>
  <c r="G81" i="1"/>
  <c r="G87" i="1"/>
  <c r="G86" i="1"/>
  <c r="G100" i="1"/>
  <c r="G101" i="1"/>
  <c r="G102" i="1"/>
  <c r="G103" i="1"/>
  <c r="G105" i="1"/>
  <c r="G106" i="1"/>
  <c r="G107" i="1"/>
  <c r="G108" i="1"/>
  <c r="G114" i="1"/>
  <c r="G118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3" i="1"/>
  <c r="G137" i="1"/>
  <c r="G176" i="1"/>
  <c r="G181" i="1"/>
  <c r="G180" i="1"/>
  <c r="M31" i="1"/>
  <c r="G66" i="1" l="1"/>
  <c r="I9" i="1" l="1"/>
  <c r="M14" i="1"/>
  <c r="G148" i="1" l="1"/>
  <c r="G149" i="1"/>
  <c r="G150" i="1"/>
  <c r="G151" i="1"/>
  <c r="G152" i="1"/>
  <c r="G153" i="1"/>
  <c r="G48" i="1" l="1"/>
  <c r="G47" i="1"/>
  <c r="G45" i="1"/>
  <c r="G44" i="1"/>
  <c r="L7" i="1" l="1"/>
  <c r="M11" i="1" l="1"/>
  <c r="I144" i="1" l="1"/>
  <c r="M181" i="1"/>
  <c r="M180" i="1"/>
  <c r="M153" i="1"/>
  <c r="M152" i="1"/>
  <c r="M187" i="1" l="1"/>
  <c r="I186" i="1"/>
  <c r="M80" i="1"/>
  <c r="M184" i="1" l="1"/>
  <c r="M185" i="1"/>
  <c r="M176" i="1"/>
  <c r="I60" i="1" l="1"/>
  <c r="I43" i="1" s="1"/>
  <c r="M135" i="1" l="1"/>
  <c r="M134" i="1"/>
  <c r="M110" i="1"/>
  <c r="M133" i="1"/>
  <c r="M132" i="1"/>
  <c r="M109" i="1"/>
  <c r="M151" i="1"/>
  <c r="M150" i="1"/>
  <c r="I183" i="1"/>
  <c r="M81" i="1"/>
  <c r="M183" i="1" l="1"/>
  <c r="M175" i="1"/>
  <c r="M166" i="1"/>
  <c r="M165" i="1"/>
  <c r="M64" i="1" l="1"/>
  <c r="L123" i="1" l="1"/>
  <c r="M123" i="1" s="1"/>
  <c r="L122" i="1"/>
  <c r="M122" i="1" s="1"/>
  <c r="L129" i="1"/>
  <c r="M129" i="1" s="1"/>
  <c r="L127" i="1"/>
  <c r="M127" i="1" s="1"/>
  <c r="L121" i="1"/>
  <c r="M121" i="1" s="1"/>
  <c r="L130" i="1"/>
  <c r="M130" i="1" s="1"/>
  <c r="L120" i="1"/>
  <c r="L126" i="1"/>
  <c r="M126" i="1" s="1"/>
  <c r="L124" i="1"/>
  <c r="M124" i="1" s="1"/>
  <c r="M10" i="1"/>
  <c r="M13" i="1"/>
  <c r="M18" i="1"/>
  <c r="M20" i="1"/>
  <c r="M21" i="1"/>
  <c r="M22" i="1"/>
  <c r="M24" i="1"/>
  <c r="M27" i="1"/>
  <c r="M28" i="1"/>
  <c r="M30" i="1"/>
  <c r="M32" i="1"/>
  <c r="M33" i="1"/>
  <c r="M34" i="1"/>
  <c r="M36" i="1"/>
  <c r="M37" i="1"/>
  <c r="M38" i="1"/>
  <c r="M39" i="1"/>
  <c r="M41" i="1"/>
  <c r="M44" i="1"/>
  <c r="M45" i="1"/>
  <c r="M46" i="1"/>
  <c r="M47" i="1"/>
  <c r="M48" i="1"/>
  <c r="M49" i="1"/>
  <c r="M50" i="1"/>
  <c r="M61" i="1"/>
  <c r="M62" i="1"/>
  <c r="M68" i="1"/>
  <c r="M72" i="1"/>
  <c r="M73" i="1"/>
  <c r="M74" i="1"/>
  <c r="M75" i="1"/>
  <c r="M76" i="1"/>
  <c r="M77" i="1"/>
  <c r="M78" i="1"/>
  <c r="M79" i="1"/>
  <c r="M86" i="1"/>
  <c r="M87" i="1"/>
  <c r="M93" i="1"/>
  <c r="M94" i="1"/>
  <c r="M96" i="1"/>
  <c r="M97" i="1"/>
  <c r="M98" i="1"/>
  <c r="M99" i="1"/>
  <c r="M100" i="1"/>
  <c r="M101" i="1"/>
  <c r="M102" i="1"/>
  <c r="M103" i="1"/>
  <c r="M104" i="1"/>
  <c r="M114" i="1"/>
  <c r="M115" i="1"/>
  <c r="M116" i="1"/>
  <c r="M117" i="1"/>
  <c r="M118" i="1"/>
  <c r="M119" i="1"/>
  <c r="M125" i="1"/>
  <c r="M128" i="1"/>
  <c r="M131" i="1"/>
  <c r="M137" i="1"/>
  <c r="M145" i="1"/>
  <c r="M148" i="1"/>
  <c r="M149" i="1"/>
  <c r="M26" i="1" l="1"/>
  <c r="M120" i="1"/>
  <c r="L69" i="1"/>
  <c r="M140" i="1" l="1"/>
  <c r="I147" i="1" l="1"/>
  <c r="I146" i="1" s="1"/>
  <c r="G147" i="1" l="1"/>
  <c r="M147" i="1"/>
  <c r="M91" i="1" l="1"/>
  <c r="M60" i="1"/>
  <c r="I67" i="1"/>
  <c r="M67" i="1" s="1"/>
  <c r="I65" i="1"/>
  <c r="M65" i="1" l="1"/>
  <c r="I23" i="1"/>
  <c r="M23" i="1" s="1"/>
  <c r="M9" i="1" l="1"/>
  <c r="I71" i="1"/>
  <c r="I70" i="1" s="1"/>
  <c r="M71" i="1" l="1"/>
  <c r="I17" i="1"/>
  <c r="M17" i="1" l="1"/>
  <c r="M40" i="1" l="1"/>
  <c r="M69" i="1"/>
  <c r="I19" i="1"/>
  <c r="I8" i="1" s="1"/>
  <c r="I7" i="1" s="1"/>
  <c r="M19" i="1" l="1"/>
  <c r="I188" i="1"/>
  <c r="M7" i="1" l="1"/>
</calcChain>
</file>

<file path=xl/sharedStrings.xml><?xml version="1.0" encoding="utf-8"?>
<sst xmlns="http://schemas.openxmlformats.org/spreadsheetml/2006/main" count="477" uniqueCount="281">
  <si>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</si>
  <si>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</si>
  <si>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</si>
  <si>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</si>
  <si>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</si>
  <si>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</si>
  <si>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</si>
  <si>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</si>
  <si>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</si>
  <si>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</si>
  <si>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</si>
  <si>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</si>
  <si>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</si>
  <si>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</si>
  <si>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</si>
  <si>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</si>
  <si>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</si>
  <si>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</si>
  <si>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</si>
  <si>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</si>
  <si>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</si>
  <si>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</si>
  <si>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</si>
  <si>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</si>
  <si>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</si>
  <si>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</si>
  <si>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</si>
  <si>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КНП "Бучанський центр первинної медико-санітарної допомоги" Бучанської міської ради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</si>
  <si>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</si>
  <si>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</si>
  <si>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</si>
  <si>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</si>
  <si>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Будівництво дитячого закладу на 144 місця по вул. Лесі Українки в м.Буча Київської області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</si>
  <si>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</si>
  <si>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</si>
  <si>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</si>
  <si>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</si>
  <si>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</si>
  <si>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</si>
  <si>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</si>
  <si>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</si>
  <si>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</si>
  <si>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</si>
  <si>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</si>
  <si>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</si>
  <si>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</si>
  <si>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</si>
  <si>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</si>
  <si>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</si>
  <si>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</si>
  <si>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</si>
  <si>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</si>
  <si>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</si>
  <si>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</si>
  <si>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</si>
  <si>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</si>
  <si>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</si>
  <si>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</si>
  <si>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</si>
  <si>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</si>
  <si>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</si>
  <si>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</si>
  <si>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</si>
  <si>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</si>
  <si>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</si>
  <si>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</si>
  <si>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</si>
  <si>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</si>
  <si>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</si>
  <si>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</si>
  <si>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</si>
  <si>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</si>
  <si>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</si>
  <si>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</si>
  <si>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</si>
  <si>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</si>
  <si>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</si>
  <si>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</si>
  <si>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</si>
  <si>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</si>
  <si>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</si>
  <si>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</si>
  <si>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</si>
  <si>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</si>
  <si>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</si>
  <si>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</si>
  <si>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</si>
  <si>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</si>
  <si>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</si>
  <si>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</si>
  <si>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</si>
  <si>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</si>
  <si>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</si>
  <si>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</si>
  <si>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</si>
  <si>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</si>
  <si>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</si>
  <si>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</si>
  <si>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</si>
  <si>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</si>
  <si>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</si>
  <si>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</si>
  <si>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</si>
  <si>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</si>
  <si>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</si>
  <si>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</si>
  <si>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</si>
  <si>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</si>
  <si>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</si>
  <si>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</si>
  <si>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</si>
  <si>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</si>
  <si>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</si>
  <si>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</si>
  <si>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</si>
  <si>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</si>
  <si>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</si>
  <si>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</si>
  <si>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</si>
  <si>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</si>
  <si>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</si>
  <si>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</si>
  <si>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</si>
  <si>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</si>
  <si>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</si>
  <si>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</si>
  <si>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</si>
  <si>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</si>
  <si>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</si>
  <si>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</si>
  <si>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</si>
  <si>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</si>
  <si>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</si>
  <si>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</si>
  <si>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</si>
  <si>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</si>
  <si>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</si>
  <si>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</si>
  <si>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</si>
  <si>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</si>
  <si>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</si>
  <si>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</si>
  <si>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</si>
  <si>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</si>
  <si>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</si>
  <si>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</si>
  <si>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</si>
  <si>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</si>
  <si>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</si>
  <si>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</si>
  <si>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</si>
  <si>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</si>
  <si>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</si>
  <si>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</si>
  <si>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</si>
  <si>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</si>
  <si>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</si>
  <si>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</si>
  <si>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</si>
  <si>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</si>
  <si>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</si>
  <si>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</si>
  <si>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</si>
  <si>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</si>
  <si>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</si>
  <si>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</si>
  <si>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райну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</si>
  <si>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</si>
  <si>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</si>
  <si>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</si>
  <si>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</si>
  <si>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</si>
  <si>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</si>
  <si>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</si>
  <si>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</si>
  <si>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</si>
  <si>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</si>
  <si>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</si>
  <si>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</si>
  <si>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</si>
  <si>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</si>
  <si>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</si>
  <si>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</si>
  <si>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</si>
  <si>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</si>
  <si>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</si>
  <si>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</si>
  <si>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</si>
  <si>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</si>
  <si>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</si>
  <si>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</si>
  <si>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</si>
  <si>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</si>
  <si>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</si>
  <si>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</si>
  <si>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</si>
  <si>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</si>
  <si>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</si>
  <si>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</si>
  <si>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</si>
  <si>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</si>
  <si>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</si>
  <si>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</si>
  <si>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</si>
  <si>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</si>
  <si>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</si>
  <si>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</si>
  <si>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</si>
  <si>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</si>
  <si>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</si>
  <si>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</si>
  <si>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</si>
  <si>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</si>
  <si>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</si>
  <si>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</si>
  <si>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</si>
  <si>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</si>
  <si>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</si>
  <si>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</si>
  <si>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</si>
  <si>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придбання стелажів та станка для прошивки документів,принтер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</si>
  <si>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</si>
  <si>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</si>
  <si>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проектор</t>
  </si>
  <si>
    <t>автомобіль</t>
  </si>
  <si>
    <t>0617363</t>
  </si>
  <si>
    <t>Капітальний ремонт щодо покращення енергозбереження будівлі в початковій Ірпінській ЗОШ-І ступеня № 11 комунальної власності по вул. Березова, 5 в селищі Ворзель Київської обл. (в т.ч. виготовлення п.к.д.)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</si>
  <si>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</si>
  <si>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</si>
  <si>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</si>
  <si>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</si>
  <si>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</si>
  <si>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</si>
  <si>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</si>
  <si>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</si>
  <si>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</si>
  <si>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</si>
  <si>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</si>
  <si>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</si>
  <si>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цифровий перетворювач для мамографа, моноблоки</t>
  </si>
  <si>
    <t>Будівництво спортивного блоку в комплексі з будівлями загальноосвітньої школи № 2 по вул.Шевченка, 14 в м. Буча (Коригування)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</si>
  <si>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</si>
  <si>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>Капітальний ремонт благоустрою території комунальної власності по вул. Польова в м. Буча Київської області</t>
  </si>
  <si>
    <t>Капітальний ремонт-озеленення по вул. Київська в с. Синяк Бучанського району Київської області</t>
  </si>
  <si>
    <t xml:space="preserve">Виготовлення проектно-кошторисної документації по об'єкту 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</si>
  <si>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 xml:space="preserve">Технічний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</si>
  <si>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>Авторський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</t>
  </si>
  <si>
    <t>Авторський нагляд по об’єкту  "Реконструкція з добудовою загальноосвітньої школи №1 І-ІІІ ступенів по вул.Малиновського,74 в м.Буча Київської області. Коригування"</t>
  </si>
  <si>
    <t>Технічний нагляд по об’єкту 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</t>
  </si>
  <si>
    <t xml:space="preserve">Авторський нагляд по об’єкту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 </t>
  </si>
  <si>
    <t>Виготовлення проектно – кошторисної документації по об’єкту «Будівництво дошкільного дитячого закладу на 144 місця по вул. Лесі Українки в м. Буча Київської області.(Робочі креслення)»</t>
  </si>
  <si>
    <t xml:space="preserve">Технічний нагляд по об’єкту «Будівництво дошкільного дитячого закладу на 144 місця по вул. Лесі Українки в м. Буча Київської області. Коригування»  </t>
  </si>
  <si>
    <t xml:space="preserve">Технічний нагляд по об’єкту « Будівництво спортивного блоку в комплексі з будівлями загальноосвітньої школи № 2 по вул.Шевченка, 14 в м. Буча (Залишки).Коригування» </t>
  </si>
  <si>
    <t>Виготовлення проектно – кошторисної документації по об’єкту «Будівництво спортивного блоку в комплексі з будівлями загальноосвітньої школи № 2 по вул. Шевченка, в м. Буча. Реконструкція системи газопостачання котельні»</t>
  </si>
  <si>
    <t>Капітальний ремонт системи водовідведення по вул. Тюменцева-Хвилі в м. Буча Київської області</t>
  </si>
  <si>
    <t>Встановлення на об'єктах бюджетної сфери м. Буча індивідуальних теплових пунктів з погодним регулюванням</t>
  </si>
  <si>
    <t>Субвенція з місцевого бюджету на співфінансування інвестиційних проектів</t>
  </si>
  <si>
    <t>Капітальний ремонт дороги комунальної власності по вул. Тюльпанова в сел. Ворзель Київської області</t>
  </si>
  <si>
    <t>Капітальний ремонт мереж вуличного освітлення в с. Здвижівка</t>
  </si>
  <si>
    <t>Забезпечення діяльності водопровідно-каналізаційного господарства</t>
  </si>
  <si>
    <t>0116013</t>
  </si>
  <si>
    <t>Технічний нагляд по об'єкту "Капітальний ремонт дороги комунальної власності по вул. Інститутська ( від вул. Тургенєва до вул. Революції) в м. Буча Київської області)"</t>
  </si>
  <si>
    <t xml:space="preserve">Будівництво спортивного блоку в комплексі з будівлями загальноосвітньої школи №2 по вул. Шевченка,14 в м. Буча ( Залишки). Коригування </t>
  </si>
  <si>
    <t>Капітальний ремонт приміщень Бучанського навчально-виховного комплексу " Спеціалізована загальноосвітня школа I-III ступенів- загальноосвітня школа I-III ступенів №2 по вул. Шевченка,14 в м. Буча Київської області"</t>
  </si>
  <si>
    <t>Капітальний ремонт будівлі загальноосвітньої школи №2 по вул. Шевченка,14 в м. Буча Київської області ( утеплення фасадів та заміна покриття даху) ( співфінансування)</t>
  </si>
  <si>
    <t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( співфінансування)</t>
  </si>
  <si>
    <t>моноблок</t>
  </si>
  <si>
    <t>Розроблення проектної документації стадії « робочий проєкт» по об'єкту « Будівництво очисних споруд комунальної власності за адресою Київська область, Бучанський район, с. Блиставиця вул. Ярослава Мудрого, б, 1-а»</t>
  </si>
  <si>
    <t>Розроблення проектної документації стадії « робочий проєкт» по об'єкту « Будівництво котельні комунальної власності за адресою Київська область, Бучанський район, с. Блиставиця, вулиця Ярослава Мудрого, б. 3-а»</t>
  </si>
  <si>
    <t>Капітальний ремонт мереж вуличного освітлення по вул. Б. Гмирі в м. Буча Київської області</t>
  </si>
  <si>
    <t>Реконструкція адміністративної будівлі з прибудовою вхідної групи по бульвару  Б.Хмельницького, 5/5а в м.Буча Київської області (співфінансування)</t>
  </si>
  <si>
    <t>0611182</t>
  </si>
  <si>
    <t>Виконання заходів, спрямованих на забезпечення якісної, сучасної та доступної загальної середньої освіти « Нова українська школа» за рахунок субвенції з державного бюджету місцевим бюджетам</t>
  </si>
  <si>
    <t>0</t>
  </si>
  <si>
    <t>Придбання у комунальну власність житла для надання в тимчасове користування внутрішньо переміщеним особам</t>
  </si>
  <si>
    <t>Капітальний ремонт харчоблоку Комунального закладу « Синяківський хіміко-технологічний ліцей»- заклад загальної середньої освіти I-II ступенів» № 15 в с. Синяк, Київської області»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</si>
  <si>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</si>
  <si>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Капітальний ремонт групових приміщень Мироцького закладу дошкільної освіти № 13 « Лелеченя» Бучанської міської ради Київської області в с. Мироцьке, Київської області</t>
  </si>
  <si>
    <t>Капітальний ремонт шкільних приміщень Комунального закладу « Синяківський хіміко-технологічний ліцей – заклад загальної середньої освіти I-II ступенів» № 15 в с. Синяк, Київської області</t>
  </si>
  <si>
    <t>Капітальний ремонт актової зали Комунального закладу « Здвижівська гімназія № 14» в с. Здвижівка, Київської області</t>
  </si>
  <si>
    <t xml:space="preserve">до рішення Бучанської міської ради № 1538 -15-VIIІ від  29.07.2021р. "Про внесення змін до рішення 4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</si>
</sst>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0.0%"/>
  </numFmts>
  <fonts count="32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24" fillId="0" borderId="0" applyFont="0" applyFill="0" applyBorder="0" applyAlignment="0" applyProtection="0"/>
  </cellStyleXfs>
  <cellXfs count="24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14" fillId="6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Alignment="1">
      <alignment horizontal="center"/>
    </xf>
    <xf numFmtId="0" fontId="11" fillId="0" borderId="0" xfId="0" applyFont="1" applyFill="1"/>
    <xf numFmtId="0" fontId="10" fillId="0" borderId="0" xfId="0" applyFont="1" applyFill="1"/>
    <xf numFmtId="0" fontId="16" fillId="0" borderId="0" xfId="0" applyFont="1"/>
    <xf numFmtId="0" fontId="11" fillId="0" borderId="1" xfId="0" applyFont="1" applyFill="1" applyBorder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/>
    <xf numFmtId="164" fontId="18" fillId="0" borderId="1" xfId="0" applyNumberFormat="1" applyFont="1" applyFill="1" applyBorder="1"/>
    <xf numFmtId="164" fontId="17" fillId="0" borderId="1" xfId="0" applyNumberFormat="1" applyFont="1" applyBorder="1"/>
    <xf numFmtId="164" fontId="17" fillId="3" borderId="1" xfId="0" applyNumberFormat="1" applyFont="1" applyFill="1" applyBorder="1"/>
    <xf numFmtId="164" fontId="19" fillId="0" borderId="1" xfId="0" applyNumberFormat="1" applyFont="1" applyFill="1" applyBorder="1"/>
    <xf numFmtId="164" fontId="20" fillId="0" borderId="1" xfId="0" applyNumberFormat="1" applyFont="1" applyFill="1" applyBorder="1"/>
    <xf numFmtId="0" fontId="21" fillId="7" borderId="1" xfId="0" applyFont="1" applyFill="1" applyBorder="1" applyAlignment="1">
      <alignment horizontal="center" vertical="center"/>
    </xf>
    <xf numFmtId="164" fontId="22" fillId="7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2" fillId="4" borderId="1" xfId="0" applyNumberFormat="1" applyFont="1" applyFill="1" applyBorder="1"/>
    <xf numFmtId="4" fontId="22" fillId="4" borderId="1" xfId="0" applyNumberFormat="1" applyFont="1" applyFill="1" applyBorder="1"/>
    <xf numFmtId="0" fontId="1" fillId="0" borderId="1" xfId="0" applyFont="1" applyBorder="1"/>
    <xf numFmtId="4" fontId="22" fillId="0" borderId="1" xfId="0" applyNumberFormat="1" applyFont="1" applyBorder="1"/>
    <xf numFmtId="0" fontId="13" fillId="8" borderId="1" xfId="0" applyFont="1" applyFill="1" applyBorder="1" applyAlignment="1">
      <alignment horizontal="center" vertical="center"/>
    </xf>
    <xf numFmtId="164" fontId="17" fillId="8" borderId="1" xfId="0" applyNumberFormat="1" applyFont="1" applyFill="1" applyBorder="1"/>
    <xf numFmtId="164" fontId="1" fillId="8" borderId="1" xfId="0" applyNumberFormat="1" applyFont="1" applyFill="1" applyBorder="1"/>
    <xf numFmtId="0" fontId="1" fillId="8" borderId="0" xfId="0" applyFont="1" applyFill="1"/>
    <xf numFmtId="0" fontId="5" fillId="8" borderId="0" xfId="0" applyFont="1" applyFill="1"/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3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4" fontId="7" fillId="4" borderId="1" xfId="0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17" fillId="9" borderId="1" xfId="0" applyNumberFormat="1" applyFont="1" applyFill="1" applyBorder="1"/>
    <xf numFmtId="164" fontId="1" fillId="9" borderId="1" xfId="0" applyNumberFormat="1" applyFont="1" applyFill="1" applyBorder="1"/>
    <xf numFmtId="0" fontId="15" fillId="9" borderId="1" xfId="0" applyFont="1" applyFill="1" applyBorder="1" applyAlignment="1">
      <alignment horizontal="center" vertical="center"/>
    </xf>
    <xf numFmtId="0" fontId="1" fillId="9" borderId="5" xfId="0" applyFont="1" applyFill="1" applyBorder="1"/>
    <xf numFmtId="0" fontId="13" fillId="9" borderId="5" xfId="0" applyFont="1" applyFill="1" applyBorder="1" applyAlignment="1">
      <alignment horizontal="center" vertical="center"/>
    </xf>
    <xf numFmtId="164" fontId="25" fillId="0" borderId="1" xfId="0" applyNumberFormat="1" applyFont="1" applyFill="1" applyBorder="1"/>
    <xf numFmtId="164" fontId="5" fillId="0" borderId="1" xfId="0" applyNumberFormat="1" applyFont="1" applyFill="1" applyBorder="1"/>
    <xf numFmtId="164" fontId="25" fillId="9" borderId="1" xfId="0" applyNumberFormat="1" applyFont="1" applyFill="1" applyBorder="1"/>
    <xf numFmtId="164" fontId="5" fillId="9" borderId="1" xfId="0" applyNumberFormat="1" applyFont="1" applyFill="1" applyBorder="1"/>
    <xf numFmtId="0" fontId="25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/>
    <xf numFmtId="164" fontId="1" fillId="0" borderId="3" xfId="0" applyNumberFormat="1" applyFont="1" applyFill="1" applyBorder="1" applyAlignment="1"/>
    <xf numFmtId="164" fontId="1" fillId="0" borderId="4" xfId="0" applyNumberFormat="1" applyFont="1" applyFill="1" applyBorder="1" applyAlignment="1"/>
    <xf numFmtId="164" fontId="1" fillId="0" borderId="2" xfId="0" applyNumberFormat="1" applyFont="1" applyFill="1" applyBorder="1" applyAlignment="1"/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49" fontId="5" fillId="0" borderId="0" xfId="0" quotePrefix="1" applyNumberFormat="1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vertical="center" wrapText="1" shrinkToFi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49" fontId="15" fillId="0" borderId="1" xfId="0" applyNumberFormat="1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 shrinkToFit="1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2" fontId="15" fillId="0" borderId="1" xfId="0" applyNumberFormat="1" applyFont="1" applyFill="1" applyBorder="1" applyAlignment="1">
      <alignment horizontal="center" vertical="center" wrapText="1" shrinkToFit="1"/>
    </xf>
    <xf numFmtId="0" fontId="15" fillId="0" borderId="1" xfId="0" applyFont="1" applyFill="1" applyBorder="1" applyAlignment="1">
      <alignment vertical="center" wrapText="1" shrinkToFit="1"/>
    </xf>
    <xf numFmtId="1" fontId="15" fillId="0" borderId="1" xfId="0" applyNumberFormat="1" applyFont="1" applyFill="1" applyBorder="1" applyAlignment="1">
      <alignment horizontal="center" vertical="center" wrapText="1" shrinkToFit="1"/>
    </xf>
    <xf numFmtId="4" fontId="13" fillId="0" borderId="1" xfId="0" applyNumberFormat="1" applyFont="1" applyFill="1" applyBorder="1" applyAlignment="1">
      <alignment horizontal="center" vertical="center" wrapText="1" shrinkToFit="1"/>
    </xf>
    <xf numFmtId="9" fontId="13" fillId="0" borderId="1" xfId="1" applyFont="1" applyFill="1" applyBorder="1" applyAlignment="1">
      <alignment horizontal="center" vertical="center" wrapText="1" shrinkToFit="1"/>
    </xf>
    <xf numFmtId="1" fontId="13" fillId="0" borderId="1" xfId="0" applyNumberFormat="1" applyFont="1" applyFill="1" applyBorder="1" applyAlignment="1">
      <alignment horizontal="center" vertical="center" wrapText="1" shrinkToFit="1"/>
    </xf>
    <xf numFmtId="0" fontId="15" fillId="0" borderId="5" xfId="0" quotePrefix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 wrapText="1" shrinkToFi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 shrinkToFit="1"/>
    </xf>
    <xf numFmtId="0" fontId="15" fillId="0" borderId="7" xfId="0" quotePrefix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 wrapText="1" shrinkToFi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center" vertical="center" wrapText="1" shrinkToFi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 shrinkToFit="1"/>
    </xf>
    <xf numFmtId="0" fontId="26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vertical="center" wrapText="1" shrinkToFit="1"/>
    </xf>
    <xf numFmtId="0" fontId="13" fillId="0" borderId="1" xfId="0" applyFont="1" applyFill="1" applyBorder="1" applyAlignment="1">
      <alignment horizontal="center" wrapText="1"/>
    </xf>
    <xf numFmtId="2" fontId="15" fillId="0" borderId="1" xfId="0" applyNumberFormat="1" applyFont="1" applyFill="1" applyBorder="1" applyAlignment="1">
      <alignment horizontal="left" vertical="center" wrapText="1" shrinkToFit="1"/>
    </xf>
    <xf numFmtId="0" fontId="13" fillId="0" borderId="5" xfId="0" applyFont="1" applyFill="1" applyBorder="1" applyAlignment="1">
      <alignment horizontal="center" vertical="center" wrapText="1" shrinkToFit="1"/>
    </xf>
    <xf numFmtId="49" fontId="13" fillId="0" borderId="5" xfId="0" applyNumberFormat="1" applyFont="1" applyFill="1" applyBorder="1" applyAlignment="1">
      <alignment horizontal="center" vertical="center" wrapText="1" shrinkToFit="1"/>
    </xf>
    <xf numFmtId="0" fontId="15" fillId="0" borderId="5" xfId="0" applyFont="1" applyFill="1" applyBorder="1" applyAlignment="1">
      <alignment horizontal="center" vertical="center" wrapText="1" shrinkToFit="1"/>
    </xf>
    <xf numFmtId="49" fontId="15" fillId="0" borderId="6" xfId="0" applyNumberFormat="1" applyFont="1" applyFill="1" applyBorder="1" applyAlignment="1">
      <alignment horizontal="center" vertical="center" wrapText="1" shrinkToFit="1"/>
    </xf>
    <xf numFmtId="0" fontId="13" fillId="0" borderId="6" xfId="0" applyFont="1" applyFill="1" applyBorder="1" applyAlignment="1">
      <alignment horizontal="center" vertical="center" wrapText="1" shrinkToFit="1"/>
    </xf>
    <xf numFmtId="49" fontId="13" fillId="0" borderId="6" xfId="0" applyNumberFormat="1" applyFont="1" applyFill="1" applyBorder="1" applyAlignment="1">
      <alignment horizontal="center" vertical="center" wrapText="1" shrinkToFit="1"/>
    </xf>
    <xf numFmtId="0" fontId="15" fillId="0" borderId="6" xfId="0" applyFont="1" applyFill="1" applyBorder="1" applyAlignment="1">
      <alignment horizontal="center" vertical="center" wrapText="1" shrinkToFit="1"/>
    </xf>
    <xf numFmtId="49" fontId="15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 shrinkToFit="1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49" fontId="15" fillId="3" borderId="3" xfId="0" applyNumberFormat="1" applyFont="1" applyFill="1" applyBorder="1" applyAlignment="1">
      <alignment horizontal="center" vertical="center" wrapText="1" shrinkToFit="1"/>
    </xf>
    <xf numFmtId="49" fontId="15" fillId="3" borderId="4" xfId="0" applyNumberFormat="1" applyFont="1" applyFill="1" applyBorder="1" applyAlignment="1">
      <alignment horizontal="center" vertical="center" wrapText="1" shrinkToFit="1"/>
    </xf>
    <xf numFmtId="49" fontId="15" fillId="3" borderId="2" xfId="0" applyNumberFormat="1" applyFont="1" applyFill="1" applyBorder="1" applyAlignment="1">
      <alignment horizontal="center" vertical="center" wrapText="1" shrinkToFit="1"/>
    </xf>
    <xf numFmtId="0" fontId="27" fillId="2" borderId="1" xfId="0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 shrinkToFit="1"/>
    </xf>
    <xf numFmtId="1" fontId="27" fillId="3" borderId="1" xfId="0" applyNumberFormat="1" applyFont="1" applyFill="1" applyBorder="1" applyAlignment="1">
      <alignment horizontal="center" vertical="center" wrapText="1" shrinkToFit="1"/>
    </xf>
    <xf numFmtId="4" fontId="2" fillId="3" borderId="1" xfId="0" applyNumberFormat="1" applyFont="1" applyFill="1" applyBorder="1" applyAlignment="1">
      <alignment horizontal="center" vertical="center" wrapText="1" shrinkToFit="1"/>
    </xf>
    <xf numFmtId="1" fontId="2" fillId="3" borderId="1" xfId="0" applyNumberFormat="1" applyFont="1" applyFill="1" applyBorder="1" applyAlignment="1">
      <alignment horizontal="center" vertical="center" wrapText="1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 shrinkToFit="1"/>
    </xf>
    <xf numFmtId="49" fontId="13" fillId="0" borderId="7" xfId="0" applyNumberFormat="1" applyFont="1" applyFill="1" applyBorder="1" applyAlignment="1">
      <alignment horizontal="center" vertical="center" wrapText="1" shrinkToFit="1"/>
    </xf>
    <xf numFmtId="0" fontId="13" fillId="0" borderId="7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wrapText="1" shrinkToFit="1"/>
    </xf>
    <xf numFmtId="1" fontId="15" fillId="0" borderId="5" xfId="0" applyNumberFormat="1" applyFont="1" applyFill="1" applyBorder="1" applyAlignment="1">
      <alignment horizontal="center" vertical="center" wrapText="1" shrinkToFit="1"/>
    </xf>
    <xf numFmtId="2" fontId="15" fillId="0" borderId="5" xfId="0" applyNumberFormat="1" applyFont="1" applyFill="1" applyBorder="1" applyAlignment="1">
      <alignment horizontal="center" vertical="center" wrapText="1" shrinkToFit="1"/>
    </xf>
    <xf numFmtId="1" fontId="15" fillId="0" borderId="7" xfId="0" applyNumberFormat="1" applyFont="1" applyFill="1" applyBorder="1" applyAlignment="1">
      <alignment horizontal="center" vertical="center" wrapText="1" shrinkToFit="1"/>
    </xf>
    <xf numFmtId="2" fontId="15" fillId="0" borderId="7" xfId="0" applyNumberFormat="1" applyFont="1" applyFill="1" applyBorder="1" applyAlignment="1">
      <alignment horizontal="center" vertical="center" wrapText="1" shrinkToFit="1"/>
    </xf>
    <xf numFmtId="1" fontId="15" fillId="0" borderId="1" xfId="0" quotePrefix="1" applyNumberFormat="1" applyFont="1" applyBorder="1" applyAlignment="1">
      <alignment horizontal="center" vertical="center" wrapText="1" shrinkToFit="1"/>
    </xf>
    <xf numFmtId="1" fontId="15" fillId="0" borderId="1" xfId="0" applyNumberFormat="1" applyFont="1" applyBorder="1" applyAlignment="1">
      <alignment horizontal="center" vertical="center" wrapText="1" shrinkToFi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wrapText="1"/>
    </xf>
    <xf numFmtId="2" fontId="15" fillId="0" borderId="6" xfId="0" applyNumberFormat="1" applyFont="1" applyFill="1" applyBorder="1" applyAlignment="1">
      <alignment horizontal="center" vertical="center" wrapText="1" shrinkToFit="1"/>
    </xf>
    <xf numFmtId="2" fontId="28" fillId="2" borderId="1" xfId="0" applyNumberFormat="1" applyFont="1" applyFill="1" applyBorder="1" applyAlignment="1">
      <alignment horizontal="center" vertical="center" wrapText="1" shrinkToFit="1"/>
    </xf>
    <xf numFmtId="2" fontId="15" fillId="0" borderId="7" xfId="0" applyNumberFormat="1" applyFont="1" applyFill="1" applyBorder="1" applyAlignment="1">
      <alignment horizontal="center" vertical="center" wrapText="1" shrinkToFit="1"/>
    </xf>
    <xf numFmtId="0" fontId="13" fillId="3" borderId="1" xfId="0" quotePrefix="1" applyFont="1" applyFill="1" applyBorder="1" applyAlignment="1">
      <alignment horizontal="center" vertical="center"/>
    </xf>
    <xf numFmtId="0" fontId="13" fillId="3" borderId="1" xfId="0" applyFont="1" applyFill="1" applyBorder="1"/>
    <xf numFmtId="0" fontId="27" fillId="6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 shrinkToFit="1"/>
    </xf>
    <xf numFmtId="0" fontId="15" fillId="0" borderId="1" xfId="0" quotePrefix="1" applyFont="1" applyFill="1" applyBorder="1" applyAlignment="1">
      <alignment horizontal="center" vertical="center" wrapText="1" shrinkToFit="1"/>
    </xf>
    <xf numFmtId="0" fontId="15" fillId="0" borderId="2" xfId="0" applyFont="1" applyFill="1" applyBorder="1" applyAlignment="1">
      <alignment wrapText="1" shrinkToFit="1"/>
    </xf>
    <xf numFmtId="4" fontId="15" fillId="0" borderId="1" xfId="0" applyNumberFormat="1" applyFont="1" applyFill="1" applyBorder="1" applyAlignment="1">
      <alignment horizontal="center" vertical="center" wrapText="1" shrinkToFit="1"/>
    </xf>
    <xf numFmtId="165" fontId="15" fillId="0" borderId="1" xfId="0" applyNumberFormat="1" applyFont="1" applyFill="1" applyBorder="1" applyAlignment="1">
      <alignment horizontal="center" vertical="center" wrapText="1" shrinkToFit="1"/>
    </xf>
    <xf numFmtId="0" fontId="15" fillId="0" borderId="4" xfId="0" applyFont="1" applyFill="1" applyBorder="1" applyAlignment="1">
      <alignment wrapText="1" shrinkToFit="1"/>
    </xf>
    <xf numFmtId="4" fontId="15" fillId="0" borderId="4" xfId="0" applyNumberFormat="1" applyFont="1" applyFill="1" applyBorder="1" applyAlignment="1">
      <alignment horizontal="center" vertical="center" wrapText="1" shrinkToFit="1"/>
    </xf>
    <xf numFmtId="4" fontId="13" fillId="0" borderId="4" xfId="0" applyNumberFormat="1" applyFont="1" applyFill="1" applyBorder="1" applyAlignment="1">
      <alignment horizontal="center" vertical="center" wrapText="1" shrinkToFit="1"/>
    </xf>
    <xf numFmtId="49" fontId="29" fillId="0" borderId="3" xfId="0" applyNumberFormat="1" applyFont="1" applyFill="1" applyBorder="1" applyAlignment="1">
      <alignment horizontal="center" vertical="center" wrapText="1" shrinkToFit="1"/>
    </xf>
    <xf numFmtId="49" fontId="15" fillId="0" borderId="4" xfId="0" applyNumberFormat="1" applyFont="1" applyFill="1" applyBorder="1" applyAlignment="1">
      <alignment horizontal="center" vertical="center" wrapText="1" shrinkToFit="1"/>
    </xf>
    <xf numFmtId="49" fontId="15" fillId="0" borderId="2" xfId="0" applyNumberFormat="1" applyFont="1" applyFill="1" applyBorder="1" applyAlignment="1">
      <alignment horizontal="center" vertical="center" wrapText="1" shrinkToFit="1"/>
    </xf>
    <xf numFmtId="165" fontId="13" fillId="0" borderId="1" xfId="0" applyNumberFormat="1" applyFont="1" applyFill="1" applyBorder="1" applyAlignment="1">
      <alignment horizontal="center" vertical="center" wrapText="1" shrinkToFit="1"/>
    </xf>
    <xf numFmtId="0" fontId="30" fillId="0" borderId="0" xfId="0" applyFont="1" applyFill="1" applyAlignment="1">
      <alignment wrapText="1"/>
    </xf>
    <xf numFmtId="0" fontId="15" fillId="0" borderId="7" xfId="0" applyFont="1" applyFill="1" applyBorder="1" applyAlignment="1">
      <alignment horizontal="center" vertical="center" wrapText="1" shrinkToFit="1"/>
    </xf>
    <xf numFmtId="0" fontId="30" fillId="0" borderId="1" xfId="0" applyFont="1" applyFill="1" applyBorder="1" applyAlignment="1">
      <alignment wrapText="1"/>
    </xf>
    <xf numFmtId="49" fontId="15" fillId="0" borderId="7" xfId="0" applyNumberFormat="1" applyFont="1" applyFill="1" applyBorder="1" applyAlignment="1">
      <alignment horizontal="center" vertical="center" wrapText="1" shrinkToFit="1"/>
    </xf>
    <xf numFmtId="0" fontId="15" fillId="0" borderId="7" xfId="0" applyFont="1" applyFill="1" applyBorder="1" applyAlignment="1">
      <alignment horizontal="center" vertical="center" wrapText="1" shrinkToFit="1"/>
    </xf>
    <xf numFmtId="0" fontId="15" fillId="0" borderId="7" xfId="0" quotePrefix="1" applyFont="1" applyFill="1" applyBorder="1" applyAlignment="1">
      <alignment horizontal="center" vertical="center" wrapText="1" shrinkToFit="1"/>
    </xf>
    <xf numFmtId="0" fontId="15" fillId="0" borderId="3" xfId="0" quotePrefix="1" applyFont="1" applyFill="1" applyBorder="1" applyAlignment="1">
      <alignment horizontal="center" vertical="center" wrapText="1" shrinkToFit="1"/>
    </xf>
    <xf numFmtId="0" fontId="15" fillId="0" borderId="1" xfId="0" quotePrefix="1" applyFont="1" applyFill="1" applyBorder="1" applyAlignment="1">
      <alignment horizontal="center" vertical="center" wrapText="1" shrinkToFit="1"/>
    </xf>
    <xf numFmtId="49" fontId="15" fillId="3" borderId="1" xfId="0" applyNumberFormat="1" applyFont="1" applyFill="1" applyBorder="1" applyAlignment="1">
      <alignment horizontal="center" vertical="center" wrapText="1" shrinkToFit="1"/>
    </xf>
    <xf numFmtId="0" fontId="15" fillId="3" borderId="1" xfId="0" quotePrefix="1" applyFont="1" applyFill="1" applyBorder="1" applyAlignment="1">
      <alignment horizontal="center" vertical="center" wrapText="1" shrinkToFit="1"/>
    </xf>
    <xf numFmtId="0" fontId="27" fillId="6" borderId="1" xfId="0" applyFont="1" applyFill="1" applyBorder="1" applyAlignment="1">
      <alignment horizontal="left" vertical="center" wrapText="1" shrinkToFit="1"/>
    </xf>
    <xf numFmtId="0" fontId="13" fillId="3" borderId="1" xfId="0" applyFont="1" applyFill="1" applyBorder="1" applyAlignment="1">
      <alignment wrapText="1"/>
    </xf>
    <xf numFmtId="49" fontId="13" fillId="0" borderId="1" xfId="0" quotePrefix="1" applyNumberFormat="1" applyFont="1" applyFill="1" applyBorder="1" applyAlignment="1">
      <alignment horizontal="center" vertical="center" wrapText="1" shrinkToFit="1"/>
    </xf>
    <xf numFmtId="0" fontId="15" fillId="0" borderId="1" xfId="0" applyFont="1" applyFill="1" applyBorder="1" applyAlignment="1">
      <alignment vertical="center" wrapText="1"/>
    </xf>
    <xf numFmtId="1" fontId="27" fillId="4" borderId="3" xfId="0" applyNumberFormat="1" applyFont="1" applyFill="1" applyBorder="1" applyAlignment="1">
      <alignment horizontal="center" vertical="center" wrapText="1" shrinkToFit="1"/>
    </xf>
    <xf numFmtId="1" fontId="27" fillId="4" borderId="4" xfId="0" applyNumberFormat="1" applyFont="1" applyFill="1" applyBorder="1" applyAlignment="1">
      <alignment horizontal="center" vertical="center" wrapText="1" shrinkToFit="1"/>
    </xf>
    <xf numFmtId="1" fontId="27" fillId="4" borderId="1" xfId="0" applyNumberFormat="1" applyFont="1" applyFill="1" applyBorder="1" applyAlignment="1">
      <alignment horizontal="center" vertical="center" wrapText="1" shrinkToFit="1"/>
    </xf>
    <xf numFmtId="4" fontId="27" fillId="4" borderId="1" xfId="0" applyNumberFormat="1" applyFont="1" applyFill="1" applyBorder="1" applyAlignment="1">
      <alignment horizontal="center" vertical="center" wrapText="1" shrinkToFit="1"/>
    </xf>
    <xf numFmtId="1" fontId="15" fillId="3" borderId="3" xfId="0" applyNumberFormat="1" applyFont="1" applyFill="1" applyBorder="1" applyAlignment="1">
      <alignment vertical="center" wrapText="1" shrinkToFit="1"/>
    </xf>
    <xf numFmtId="1" fontId="15" fillId="3" borderId="1" xfId="0" applyNumberFormat="1" applyFont="1" applyFill="1" applyBorder="1" applyAlignment="1">
      <alignment vertical="center" wrapText="1" shrinkToFit="1"/>
    </xf>
    <xf numFmtId="4" fontId="27" fillId="3" borderId="1" xfId="0" applyNumberFormat="1" applyFont="1" applyFill="1" applyBorder="1" applyAlignment="1">
      <alignment horizontal="center" vertical="center" wrapText="1" shrinkToFit="1"/>
    </xf>
    <xf numFmtId="49" fontId="15" fillId="0" borderId="1" xfId="0" quotePrefix="1" applyNumberFormat="1" applyFont="1" applyFill="1" applyBorder="1" applyAlignment="1">
      <alignment horizontal="center" vertical="center" wrapText="1" shrinkToFit="1"/>
    </xf>
    <xf numFmtId="0" fontId="26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Fill="1" applyBorder="1" applyAlignment="1">
      <alignment horizontal="center" vertical="center" wrapText="1" shrinkToFit="1"/>
    </xf>
    <xf numFmtId="9" fontId="13" fillId="0" borderId="5" xfId="1" applyFont="1" applyFill="1" applyBorder="1" applyAlignment="1">
      <alignment horizontal="center" vertical="center" wrapText="1" shrinkToFit="1"/>
    </xf>
    <xf numFmtId="0" fontId="26" fillId="0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left" vertical="center" wrapText="1" shrinkToFit="1"/>
    </xf>
    <xf numFmtId="4" fontId="13" fillId="0" borderId="7" xfId="0" applyNumberFormat="1" applyFont="1" applyFill="1" applyBorder="1" applyAlignment="1">
      <alignment horizontal="center" vertical="center" wrapText="1" shrinkToFit="1"/>
    </xf>
    <xf numFmtId="9" fontId="13" fillId="0" borderId="7" xfId="1" applyFont="1" applyFill="1" applyBorder="1" applyAlignment="1">
      <alignment horizontal="center" vertical="center" wrapText="1" shrinkToFit="1"/>
    </xf>
    <xf numFmtId="0" fontId="26" fillId="0" borderId="1" xfId="0" applyFont="1" applyFill="1" applyBorder="1" applyAlignment="1">
      <alignment horizontal="center" vertical="center" wrapText="1"/>
    </xf>
    <xf numFmtId="0" fontId="13" fillId="0" borderId="3" xfId="0" quotePrefix="1" applyFont="1" applyFill="1" applyBorder="1" applyAlignment="1">
      <alignment horizontal="center" vertical="center" wrapText="1" shrinkToFit="1"/>
    </xf>
    <xf numFmtId="0" fontId="13" fillId="0" borderId="1" xfId="0" quotePrefix="1" applyFont="1" applyFill="1" applyBorder="1" applyAlignment="1">
      <alignment horizontal="center" vertical="center" wrapText="1" shrinkToFi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5" fillId="0" borderId="8" xfId="0" quotePrefix="1" applyNumberFormat="1" applyFont="1" applyFill="1" applyBorder="1" applyAlignment="1">
      <alignment vertical="center" wrapText="1" shrinkToFit="1"/>
    </xf>
    <xf numFmtId="49" fontId="15" fillId="0" borderId="0" xfId="0" quotePrefix="1" applyNumberFormat="1" applyFont="1" applyFill="1" applyBorder="1" applyAlignment="1">
      <alignment vertical="center" wrapText="1" shrinkToFit="1"/>
    </xf>
    <xf numFmtId="49" fontId="31" fillId="0" borderId="4" xfId="0" quotePrefix="1" applyNumberFormat="1" applyFont="1" applyFill="1" applyBorder="1" applyAlignment="1">
      <alignment horizontal="center" vertical="center" wrapText="1" shrinkToFit="1"/>
    </xf>
    <xf numFmtId="49" fontId="15" fillId="0" borderId="4" xfId="0" quotePrefix="1" applyNumberFormat="1" applyFont="1" applyFill="1" applyBorder="1" applyAlignment="1">
      <alignment horizontal="center" vertical="center" wrapText="1" shrinkToFit="1"/>
    </xf>
    <xf numFmtId="0" fontId="26" fillId="0" borderId="5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shrinkToFit="1"/>
    </xf>
    <xf numFmtId="49" fontId="15" fillId="0" borderId="6" xfId="0" applyNumberFormat="1" applyFont="1" applyFill="1" applyBorder="1" applyAlignment="1">
      <alignment horizontal="center" vertical="center" wrapText="1" shrinkToFit="1"/>
    </xf>
    <xf numFmtId="0" fontId="13" fillId="0" borderId="6" xfId="0" applyFont="1" applyFill="1" applyBorder="1" applyAlignment="1">
      <alignment horizontal="center" vertical="center" wrapText="1" shrinkToFi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1" fontId="15" fillId="0" borderId="5" xfId="0" quotePrefix="1" applyNumberFormat="1" applyFont="1" applyFill="1" applyBorder="1" applyAlignment="1">
      <alignment horizontal="center" vertical="center" wrapText="1" shrinkToFit="1"/>
    </xf>
    <xf numFmtId="1" fontId="15" fillId="0" borderId="6" xfId="0" quotePrefix="1" applyNumberFormat="1" applyFont="1" applyFill="1" applyBorder="1" applyAlignment="1">
      <alignment horizontal="center" vertical="center" wrapText="1" shrinkToFit="1"/>
    </xf>
    <xf numFmtId="1" fontId="15" fillId="0" borderId="6" xfId="0" applyNumberFormat="1" applyFont="1" applyFill="1" applyBorder="1" applyAlignment="1">
      <alignment horizontal="center" vertical="center" wrapText="1" shrinkToFit="1"/>
    </xf>
    <xf numFmtId="0" fontId="13" fillId="3" borderId="3" xfId="0" quotePrefix="1" applyFont="1" applyFill="1" applyBorder="1" applyAlignment="1">
      <alignment horizontal="center" vertical="center"/>
    </xf>
    <xf numFmtId="0" fontId="13" fillId="3" borderId="4" xfId="0" quotePrefix="1" applyFont="1" applyFill="1" applyBorder="1" applyAlignment="1">
      <alignment horizontal="center" vertical="center"/>
    </xf>
    <xf numFmtId="0" fontId="13" fillId="3" borderId="2" xfId="0" quotePrefix="1" applyFont="1" applyFill="1" applyBorder="1" applyAlignment="1">
      <alignment horizontal="center" vertical="center"/>
    </xf>
    <xf numFmtId="0" fontId="30" fillId="0" borderId="0" xfId="0" applyFont="1" applyFill="1"/>
    <xf numFmtId="0" fontId="13" fillId="3" borderId="3" xfId="0" applyFont="1" applyFill="1" applyBorder="1"/>
    <xf numFmtId="1" fontId="13" fillId="0" borderId="2" xfId="0" applyNumberFormat="1" applyFont="1" applyFill="1" applyBorder="1" applyAlignment="1">
      <alignment horizontal="center" vertical="center" wrapText="1" shrinkToFit="1"/>
    </xf>
    <xf numFmtId="0" fontId="15" fillId="0" borderId="3" xfId="0" applyFont="1" applyFill="1" applyBorder="1" applyAlignment="1">
      <alignment horizontal="center" vertical="center" wrapText="1" shrinkToFit="1"/>
    </xf>
    <xf numFmtId="49" fontId="15" fillId="0" borderId="5" xfId="0" quotePrefix="1" applyNumberFormat="1" applyFont="1" applyFill="1" applyBorder="1" applyAlignment="1">
      <alignment horizontal="center" vertical="center" wrapText="1" shrinkToFit="1"/>
    </xf>
    <xf numFmtId="0" fontId="15" fillId="0" borderId="5" xfId="0" quotePrefix="1" applyFont="1" applyFill="1" applyBorder="1" applyAlignment="1">
      <alignment horizontal="center" vertical="center" wrapText="1" shrinkToFit="1"/>
    </xf>
    <xf numFmtId="49" fontId="15" fillId="0" borderId="6" xfId="0" quotePrefix="1" applyNumberFormat="1" applyFont="1" applyFill="1" applyBorder="1" applyAlignment="1">
      <alignment horizontal="center" vertical="center" wrapText="1" shrinkToFit="1"/>
    </xf>
    <xf numFmtId="0" fontId="15" fillId="0" borderId="6" xfId="0" quotePrefix="1" applyFont="1" applyFill="1" applyBorder="1" applyAlignment="1">
      <alignment horizontal="center" vertical="center" wrapText="1" shrinkToFit="1"/>
    </xf>
    <xf numFmtId="49" fontId="15" fillId="0" borderId="7" xfId="0" quotePrefix="1" applyNumberFormat="1" applyFont="1" applyFill="1" applyBorder="1" applyAlignment="1">
      <alignment horizontal="center" vertical="center" wrapText="1" shrinkToFit="1"/>
    </xf>
    <xf numFmtId="0" fontId="15" fillId="0" borderId="7" xfId="0" quotePrefix="1" applyFont="1" applyFill="1" applyBorder="1" applyAlignment="1">
      <alignment horizontal="center" vertical="center" wrapText="1" shrinkToFit="1"/>
    </xf>
    <xf numFmtId="49" fontId="15" fillId="0" borderId="7" xfId="0" quotePrefix="1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7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 wrapText="1" shrinkToFi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96"/>
  <sheetViews>
    <sheetView tabSelected="1" view="pageBreakPreview" topLeftCell="E175" zoomScaleNormal="75" zoomScaleSheetLayoutView="100" workbookViewId="0">
      <selection activeCell="E152" sqref="E152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3" customWidth="1"/>
    <col min="10" max="10" width="11.7109375" style="1" customWidth="1"/>
    <col min="11" max="11" width="33.140625" style="1" customWidth="1"/>
    <col min="12" max="12" width="29" style="1" customWidth="1"/>
    <col min="13" max="13" width="27.140625" style="1" customWidth="1"/>
    <col min="14" max="14" width="14.5703125" style="1" customWidth="1"/>
    <col min="15" max="16384" width="8.85546875" style="1"/>
  </cols>
  <sheetData>
    <row r="1" spans="1:13" ht="15.75" x14ac:dyDescent="0.2">
      <c r="G1" s="96" t="s">
        <v>0</v>
      </c>
      <c r="H1" s="96"/>
      <c r="I1" s="96"/>
      <c r="J1" s="96"/>
    </row>
    <row r="2" spans="1:13" ht="109.5" customHeight="1" x14ac:dyDescent="0.3">
      <c r="D2" s="16"/>
      <c r="G2" s="101" t="s">
        <v>280</v>
      </c>
      <c r="H2" s="101"/>
      <c r="I2" s="101"/>
      <c r="J2" s="101"/>
    </row>
    <row r="3" spans="1:13" s="2" customFormat="1" ht="23.25" customHeight="1" x14ac:dyDescent="0.2">
      <c r="A3" s="98" t="s">
        <v>1</v>
      </c>
      <c r="B3" s="98"/>
      <c r="C3" s="98"/>
      <c r="D3" s="98"/>
      <c r="E3" s="98"/>
      <c r="F3" s="98"/>
      <c r="G3" s="98"/>
      <c r="H3" s="98"/>
      <c r="I3" s="98"/>
      <c r="J3" s="98"/>
      <c r="K3" s="10"/>
      <c r="L3" s="10"/>
    </row>
    <row r="4" spans="1:13" s="2" customFormat="1" ht="24.75" customHeight="1" x14ac:dyDescent="0.2">
      <c r="A4" s="97" t="s">
        <v>188</v>
      </c>
      <c r="B4" s="97"/>
      <c r="C4" s="97"/>
      <c r="D4" s="97"/>
      <c r="E4" s="97"/>
      <c r="F4" s="97"/>
      <c r="G4" s="97"/>
      <c r="H4" s="97"/>
      <c r="I4" s="97"/>
      <c r="J4" s="97"/>
      <c r="K4" s="10"/>
      <c r="L4" s="10"/>
    </row>
    <row r="5" spans="1:13" ht="93.75" customHeight="1" x14ac:dyDescent="0.2">
      <c r="A5" s="11" t="s">
        <v>190</v>
      </c>
      <c r="B5" s="11" t="s">
        <v>191</v>
      </c>
      <c r="C5" s="11" t="s">
        <v>3</v>
      </c>
      <c r="D5" s="11" t="s">
        <v>192</v>
      </c>
      <c r="E5" s="11" t="s">
        <v>193</v>
      </c>
      <c r="F5" s="11" t="s">
        <v>194</v>
      </c>
      <c r="G5" s="11" t="s">
        <v>195</v>
      </c>
      <c r="H5" s="11" t="s">
        <v>185</v>
      </c>
      <c r="I5" s="11" t="s">
        <v>196</v>
      </c>
      <c r="J5" s="12" t="s">
        <v>187</v>
      </c>
      <c r="K5" s="13"/>
      <c r="L5" s="13"/>
    </row>
    <row r="6" spans="1:13" ht="19.5" x14ac:dyDescent="0.3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28" t="s">
        <v>148</v>
      </c>
      <c r="L6" s="28" t="s">
        <v>79</v>
      </c>
      <c r="M6" s="31" t="s">
        <v>147</v>
      </c>
    </row>
    <row r="7" spans="1:13" s="14" customFormat="1" ht="20.25" customHeight="1" x14ac:dyDescent="0.3">
      <c r="A7" s="99" t="s">
        <v>12</v>
      </c>
      <c r="B7" s="100"/>
      <c r="C7" s="100"/>
      <c r="D7" s="100"/>
      <c r="E7" s="100"/>
      <c r="F7" s="60"/>
      <c r="G7" s="15"/>
      <c r="H7" s="15"/>
      <c r="I7" s="65">
        <f>I8+I26+I29+I35+I43+I65+I40+I67</f>
        <v>186593105</v>
      </c>
      <c r="J7" s="8"/>
      <c r="K7" s="46"/>
      <c r="L7" s="48">
        <f>SUM(L9:L68)</f>
        <v>60209257.819999993</v>
      </c>
      <c r="M7" s="49">
        <f>I7-L7</f>
        <v>126383847.18000001</v>
      </c>
    </row>
    <row r="8" spans="1:13" s="4" customFormat="1" ht="15.75" x14ac:dyDescent="0.2">
      <c r="A8" s="63" t="s">
        <v>182</v>
      </c>
      <c r="B8" s="62"/>
      <c r="C8" s="62"/>
      <c r="D8" s="27" t="s">
        <v>9</v>
      </c>
      <c r="E8" s="6"/>
      <c r="F8" s="6" t="s">
        <v>7</v>
      </c>
      <c r="G8" s="64" t="s">
        <v>7</v>
      </c>
      <c r="H8" s="64" t="s">
        <v>186</v>
      </c>
      <c r="I8" s="61">
        <f>SUM(I9:I25)</f>
        <v>36851813</v>
      </c>
      <c r="J8" s="7" t="s">
        <v>7</v>
      </c>
      <c r="K8" s="47"/>
      <c r="L8" s="77">
        <f>SUM(L9:L25)</f>
        <v>8843867</v>
      </c>
      <c r="M8" s="47"/>
    </row>
    <row r="9" spans="1:13" s="13" customFormat="1" ht="18.75" x14ac:dyDescent="0.2">
      <c r="A9" s="104" t="s">
        <v>11</v>
      </c>
      <c r="B9" s="105">
        <v>6030</v>
      </c>
      <c r="C9" s="106" t="s">
        <v>18</v>
      </c>
      <c r="D9" s="107" t="s">
        <v>19</v>
      </c>
      <c r="E9" s="108" t="s">
        <v>10</v>
      </c>
      <c r="F9" s="109">
        <v>2021</v>
      </c>
      <c r="G9" s="110">
        <v>0</v>
      </c>
      <c r="H9" s="111">
        <v>0</v>
      </c>
      <c r="I9" s="110">
        <f>2464211+5750814-4691000</f>
        <v>3524025</v>
      </c>
      <c r="J9" s="112"/>
      <c r="K9" s="34">
        <v>2038</v>
      </c>
      <c r="L9" s="38">
        <f>1059200</f>
        <v>1059200</v>
      </c>
      <c r="M9" s="33">
        <f>I9-L9</f>
        <v>2464825</v>
      </c>
    </row>
    <row r="10" spans="1:13" s="13" customFormat="1" ht="51.75" customHeight="1" x14ac:dyDescent="0.2">
      <c r="A10" s="104" t="s">
        <v>63</v>
      </c>
      <c r="B10" s="105">
        <v>6040</v>
      </c>
      <c r="C10" s="106" t="s">
        <v>65</v>
      </c>
      <c r="D10" s="107" t="s">
        <v>64</v>
      </c>
      <c r="E10" s="108" t="s">
        <v>66</v>
      </c>
      <c r="F10" s="109">
        <v>2021</v>
      </c>
      <c r="G10" s="110">
        <v>5261884</v>
      </c>
      <c r="H10" s="111">
        <v>0</v>
      </c>
      <c r="I10" s="110">
        <v>1985175</v>
      </c>
      <c r="J10" s="112"/>
      <c r="K10" s="34">
        <v>2041</v>
      </c>
      <c r="L10" s="38"/>
      <c r="M10" s="33">
        <f>I10-L10</f>
        <v>1985175</v>
      </c>
    </row>
    <row r="11" spans="1:13" s="13" customFormat="1" ht="37.5" x14ac:dyDescent="0.2">
      <c r="A11" s="104" t="s">
        <v>168</v>
      </c>
      <c r="B11" s="105">
        <v>6082</v>
      </c>
      <c r="C11" s="106" t="s">
        <v>34</v>
      </c>
      <c r="D11" s="107" t="s">
        <v>169</v>
      </c>
      <c r="E11" s="108" t="s">
        <v>170</v>
      </c>
      <c r="F11" s="109">
        <v>2021</v>
      </c>
      <c r="G11" s="110">
        <v>4895627</v>
      </c>
      <c r="H11" s="111">
        <v>0</v>
      </c>
      <c r="I11" s="110">
        <v>1486688</v>
      </c>
      <c r="J11" s="112"/>
      <c r="K11" s="34">
        <v>2115</v>
      </c>
      <c r="L11" s="38"/>
      <c r="M11" s="33">
        <f>I11-L11</f>
        <v>1486688</v>
      </c>
    </row>
    <row r="12" spans="1:13" s="13" customFormat="1" ht="56.25" x14ac:dyDescent="0.3">
      <c r="A12" s="113" t="s">
        <v>126</v>
      </c>
      <c r="B12" s="114">
        <v>7330</v>
      </c>
      <c r="C12" s="115" t="s">
        <v>24</v>
      </c>
      <c r="D12" s="116" t="s">
        <v>125</v>
      </c>
      <c r="E12" s="117" t="s">
        <v>56</v>
      </c>
      <c r="F12" s="109">
        <v>2021</v>
      </c>
      <c r="G12" s="110">
        <v>0</v>
      </c>
      <c r="H12" s="111">
        <v>0</v>
      </c>
      <c r="I12" s="110">
        <v>1000000</v>
      </c>
      <c r="J12" s="112"/>
      <c r="K12" s="34">
        <v>2036</v>
      </c>
      <c r="L12" s="38"/>
      <c r="M12" s="33">
        <f t="shared" ref="M12:M98" si="0">I12-L12</f>
        <v>1000000</v>
      </c>
    </row>
    <row r="13" spans="1:13" s="30" customFormat="1" ht="18.75" x14ac:dyDescent="0.3">
      <c r="A13" s="118"/>
      <c r="B13" s="119"/>
      <c r="C13" s="120"/>
      <c r="D13" s="121"/>
      <c r="E13" s="122" t="s">
        <v>42</v>
      </c>
      <c r="F13" s="109">
        <v>2021</v>
      </c>
      <c r="G13" s="110">
        <v>0</v>
      </c>
      <c r="H13" s="111">
        <v>0</v>
      </c>
      <c r="I13" s="110">
        <v>2000000</v>
      </c>
      <c r="J13" s="122"/>
      <c r="K13" s="35">
        <v>2027</v>
      </c>
      <c r="L13" s="39"/>
      <c r="M13" s="33">
        <f t="shared" si="0"/>
        <v>2000000</v>
      </c>
    </row>
    <row r="14" spans="1:13" s="30" customFormat="1" ht="56.25" x14ac:dyDescent="0.3">
      <c r="A14" s="104" t="s">
        <v>197</v>
      </c>
      <c r="B14" s="123">
        <v>7361</v>
      </c>
      <c r="C14" s="104" t="s">
        <v>5</v>
      </c>
      <c r="D14" s="124" t="s">
        <v>198</v>
      </c>
      <c r="E14" s="125" t="s">
        <v>159</v>
      </c>
      <c r="F14" s="109">
        <v>2021</v>
      </c>
      <c r="G14" s="110">
        <v>25999836</v>
      </c>
      <c r="H14" s="111">
        <v>0</v>
      </c>
      <c r="I14" s="110">
        <v>7799951</v>
      </c>
      <c r="J14" s="122"/>
      <c r="K14" s="35">
        <v>2005</v>
      </c>
      <c r="L14" s="39">
        <v>2120557</v>
      </c>
      <c r="M14" s="33">
        <f t="shared" si="0"/>
        <v>5679394</v>
      </c>
    </row>
    <row r="15" spans="1:13" s="13" customFormat="1" ht="56.25" x14ac:dyDescent="0.3">
      <c r="A15" s="104" t="s">
        <v>30</v>
      </c>
      <c r="B15" s="126">
        <v>7370</v>
      </c>
      <c r="C15" s="106" t="s">
        <v>5</v>
      </c>
      <c r="D15" s="127" t="s">
        <v>31</v>
      </c>
      <c r="E15" s="128" t="s">
        <v>128</v>
      </c>
      <c r="F15" s="109">
        <v>2021</v>
      </c>
      <c r="G15" s="110">
        <f>I15</f>
        <v>4500000</v>
      </c>
      <c r="H15" s="111">
        <v>0</v>
      </c>
      <c r="I15" s="110">
        <v>4500000</v>
      </c>
      <c r="J15" s="112"/>
      <c r="K15" s="34">
        <v>2002</v>
      </c>
      <c r="L15" s="72">
        <v>4499252</v>
      </c>
      <c r="M15" s="33">
        <f>I15-L15</f>
        <v>748</v>
      </c>
    </row>
    <row r="16" spans="1:13" s="13" customFormat="1" ht="37.5" x14ac:dyDescent="0.3">
      <c r="A16" s="104" t="s">
        <v>4</v>
      </c>
      <c r="B16" s="123">
        <v>7650</v>
      </c>
      <c r="C16" s="104" t="s">
        <v>5</v>
      </c>
      <c r="D16" s="129" t="s">
        <v>13</v>
      </c>
      <c r="E16" s="130" t="s">
        <v>6</v>
      </c>
      <c r="F16" s="109">
        <v>2021</v>
      </c>
      <c r="G16" s="110">
        <v>0</v>
      </c>
      <c r="H16" s="111">
        <v>0</v>
      </c>
      <c r="I16" s="110">
        <v>100000</v>
      </c>
      <c r="J16" s="112"/>
      <c r="K16" s="34">
        <v>2001</v>
      </c>
      <c r="L16" s="72">
        <f>19300+5000+16000</f>
        <v>40300</v>
      </c>
      <c r="M16" s="33">
        <f t="shared" si="0"/>
        <v>59700</v>
      </c>
    </row>
    <row r="17" spans="1:52" s="13" customFormat="1" ht="48" customHeight="1" x14ac:dyDescent="0.3">
      <c r="A17" s="115" t="s">
        <v>38</v>
      </c>
      <c r="B17" s="131">
        <v>9750</v>
      </c>
      <c r="C17" s="132" t="s">
        <v>22</v>
      </c>
      <c r="D17" s="133" t="s">
        <v>256</v>
      </c>
      <c r="E17" s="117" t="s">
        <v>32</v>
      </c>
      <c r="F17" s="109">
        <v>2021</v>
      </c>
      <c r="G17" s="110">
        <v>67620674</v>
      </c>
      <c r="H17" s="111">
        <v>0.3</v>
      </c>
      <c r="I17" s="110">
        <f>5259000-2714160</f>
        <v>2544840</v>
      </c>
      <c r="J17" s="112"/>
      <c r="K17" s="34">
        <v>2003</v>
      </c>
      <c r="L17" s="38"/>
      <c r="M17" s="33">
        <f t="shared" si="0"/>
        <v>2544840</v>
      </c>
    </row>
    <row r="18" spans="1:52" s="13" customFormat="1" ht="54" customHeight="1" x14ac:dyDescent="0.2">
      <c r="A18" s="134"/>
      <c r="B18" s="135"/>
      <c r="C18" s="136"/>
      <c r="D18" s="137"/>
      <c r="E18" s="128" t="s">
        <v>270</v>
      </c>
      <c r="F18" s="109">
        <v>2021</v>
      </c>
      <c r="G18" s="110">
        <v>9297776</v>
      </c>
      <c r="H18" s="111">
        <v>0</v>
      </c>
      <c r="I18" s="110">
        <v>853300</v>
      </c>
      <c r="J18" s="112"/>
      <c r="K18" s="34">
        <v>2004</v>
      </c>
      <c r="L18" s="38"/>
      <c r="M18" s="33">
        <f t="shared" si="0"/>
        <v>853300</v>
      </c>
    </row>
    <row r="19" spans="1:52" s="13" customFormat="1" ht="37.5" x14ac:dyDescent="0.3">
      <c r="A19" s="138" t="s">
        <v>39</v>
      </c>
      <c r="B19" s="139">
        <v>9770</v>
      </c>
      <c r="C19" s="140" t="s">
        <v>22</v>
      </c>
      <c r="D19" s="141" t="s">
        <v>40</v>
      </c>
      <c r="E19" s="142" t="s">
        <v>49</v>
      </c>
      <c r="F19" s="109" t="s">
        <v>189</v>
      </c>
      <c r="G19" s="110">
        <v>19941203</v>
      </c>
      <c r="H19" s="111">
        <v>0</v>
      </c>
      <c r="I19" s="110">
        <f>1400000+1000000</f>
        <v>2400000</v>
      </c>
      <c r="J19" s="112"/>
      <c r="K19" s="34">
        <v>2006</v>
      </c>
      <c r="L19" s="38">
        <v>0</v>
      </c>
      <c r="M19" s="33">
        <f t="shared" si="0"/>
        <v>2400000</v>
      </c>
    </row>
    <row r="20" spans="1:52" s="13" customFormat="1" ht="37.5" x14ac:dyDescent="0.3">
      <c r="A20" s="138"/>
      <c r="B20" s="139"/>
      <c r="C20" s="140"/>
      <c r="D20" s="141"/>
      <c r="E20" s="117" t="s">
        <v>57</v>
      </c>
      <c r="F20" s="109">
        <v>2021</v>
      </c>
      <c r="G20" s="110">
        <v>39127000</v>
      </c>
      <c r="H20" s="111">
        <v>0</v>
      </c>
      <c r="I20" s="110">
        <v>2086945</v>
      </c>
      <c r="J20" s="112"/>
      <c r="K20" s="34">
        <v>2007</v>
      </c>
      <c r="L20" s="38"/>
      <c r="M20" s="33">
        <f t="shared" si="0"/>
        <v>2086945</v>
      </c>
    </row>
    <row r="21" spans="1:52" s="13" customFormat="1" ht="38.25" customHeight="1" x14ac:dyDescent="0.3">
      <c r="A21" s="138"/>
      <c r="B21" s="139"/>
      <c r="C21" s="140"/>
      <c r="D21" s="141"/>
      <c r="E21" s="117" t="s">
        <v>43</v>
      </c>
      <c r="F21" s="109">
        <v>2021</v>
      </c>
      <c r="G21" s="110">
        <v>9300000</v>
      </c>
      <c r="H21" s="111">
        <v>0</v>
      </c>
      <c r="I21" s="110">
        <f>1395000-410444</f>
        <v>984556</v>
      </c>
      <c r="J21" s="112"/>
      <c r="K21" s="34">
        <v>2011</v>
      </c>
      <c r="L21" s="38"/>
      <c r="M21" s="33">
        <f t="shared" si="0"/>
        <v>984556</v>
      </c>
    </row>
    <row r="22" spans="1:52" s="13" customFormat="1" ht="36" customHeight="1" x14ac:dyDescent="0.3">
      <c r="A22" s="138"/>
      <c r="B22" s="139"/>
      <c r="C22" s="140"/>
      <c r="D22" s="141"/>
      <c r="E22" s="117" t="s">
        <v>44</v>
      </c>
      <c r="F22" s="109">
        <v>2021</v>
      </c>
      <c r="G22" s="110">
        <v>9300000</v>
      </c>
      <c r="H22" s="111">
        <v>0</v>
      </c>
      <c r="I22" s="110">
        <f>1395000-410444</f>
        <v>984556</v>
      </c>
      <c r="J22" s="112"/>
      <c r="K22" s="34">
        <v>2012</v>
      </c>
      <c r="L22" s="38"/>
      <c r="M22" s="33">
        <f t="shared" si="0"/>
        <v>984556</v>
      </c>
    </row>
    <row r="23" spans="1:52" s="13" customFormat="1" ht="35.25" customHeight="1" x14ac:dyDescent="0.3">
      <c r="A23" s="138"/>
      <c r="B23" s="139"/>
      <c r="C23" s="140"/>
      <c r="D23" s="141"/>
      <c r="E23" s="117" t="s">
        <v>41</v>
      </c>
      <c r="F23" s="109" t="s">
        <v>215</v>
      </c>
      <c r="G23" s="110">
        <v>22473283</v>
      </c>
      <c r="H23" s="111">
        <v>0</v>
      </c>
      <c r="I23" s="110">
        <f>4495000-1640211-762788-600000-15500-1469700</f>
        <v>6801</v>
      </c>
      <c r="J23" s="112"/>
      <c r="K23" s="34">
        <v>2013</v>
      </c>
      <c r="L23" s="38"/>
      <c r="M23" s="33">
        <f t="shared" si="0"/>
        <v>6801</v>
      </c>
    </row>
    <row r="24" spans="1:52" s="13" customFormat="1" ht="36.75" customHeight="1" x14ac:dyDescent="0.3">
      <c r="A24" s="138"/>
      <c r="B24" s="139"/>
      <c r="C24" s="140"/>
      <c r="D24" s="141"/>
      <c r="E24" s="117" t="s">
        <v>71</v>
      </c>
      <c r="F24" s="109" t="s">
        <v>215</v>
      </c>
      <c r="G24" s="110">
        <v>17352090</v>
      </c>
      <c r="H24" s="111">
        <v>0</v>
      </c>
      <c r="I24" s="110">
        <v>3470418</v>
      </c>
      <c r="J24" s="112"/>
      <c r="K24" s="34">
        <v>2047</v>
      </c>
      <c r="L24" s="38">
        <v>0</v>
      </c>
      <c r="M24" s="33">
        <f t="shared" si="0"/>
        <v>3470418</v>
      </c>
    </row>
    <row r="25" spans="1:52" s="13" customFormat="1" ht="30" customHeight="1" x14ac:dyDescent="0.3">
      <c r="A25" s="138"/>
      <c r="B25" s="139"/>
      <c r="C25" s="140"/>
      <c r="D25" s="141"/>
      <c r="E25" s="117" t="s">
        <v>255</v>
      </c>
      <c r="F25" s="109">
        <v>2021</v>
      </c>
      <c r="G25" s="110">
        <v>1124558</v>
      </c>
      <c r="H25" s="111">
        <v>0</v>
      </c>
      <c r="I25" s="110">
        <v>1124558</v>
      </c>
      <c r="J25" s="112"/>
      <c r="K25" s="34">
        <v>2130</v>
      </c>
      <c r="L25" s="38">
        <v>1124558</v>
      </c>
      <c r="M25" s="33">
        <f t="shared" si="0"/>
        <v>0</v>
      </c>
    </row>
    <row r="26" spans="1:52" s="4" customFormat="1" ht="37.5" x14ac:dyDescent="0.2">
      <c r="A26" s="143"/>
      <c r="B26" s="144"/>
      <c r="C26" s="145"/>
      <c r="D26" s="146" t="s">
        <v>80</v>
      </c>
      <c r="E26" s="147"/>
      <c r="F26" s="148" t="s">
        <v>7</v>
      </c>
      <c r="G26" s="149" t="s">
        <v>7</v>
      </c>
      <c r="H26" s="149" t="s">
        <v>7</v>
      </c>
      <c r="I26" s="149">
        <f>SUM(I27:I28)</f>
        <v>2250788</v>
      </c>
      <c r="J26" s="150" t="s">
        <v>7</v>
      </c>
      <c r="K26" s="78"/>
      <c r="L26" s="78">
        <f>SUM(L27:L28)</f>
        <v>109605.01</v>
      </c>
      <c r="M26" s="78">
        <f>SUM(M27:M28)</f>
        <v>2141182.9900000002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2" s="13" customFormat="1" ht="39.75" customHeight="1" x14ac:dyDescent="0.2">
      <c r="A27" s="115" t="s">
        <v>25</v>
      </c>
      <c r="B27" s="131">
        <v>7441</v>
      </c>
      <c r="C27" s="132" t="s">
        <v>20</v>
      </c>
      <c r="D27" s="151" t="s">
        <v>26</v>
      </c>
      <c r="E27" s="128" t="s">
        <v>82</v>
      </c>
      <c r="F27" s="109">
        <v>2021</v>
      </c>
      <c r="G27" s="110">
        <f>I27</f>
        <v>1488000</v>
      </c>
      <c r="H27" s="111">
        <v>0</v>
      </c>
      <c r="I27" s="110">
        <v>1488000</v>
      </c>
      <c r="J27" s="112"/>
      <c r="K27" s="34">
        <v>2018</v>
      </c>
      <c r="L27" s="38">
        <v>109605.01</v>
      </c>
      <c r="M27" s="33">
        <f t="shared" si="0"/>
        <v>1378394.99</v>
      </c>
    </row>
    <row r="28" spans="1:52" s="13" customFormat="1" ht="56.25" customHeight="1" x14ac:dyDescent="0.2">
      <c r="A28" s="120"/>
      <c r="B28" s="152"/>
      <c r="C28" s="153"/>
      <c r="D28" s="154"/>
      <c r="E28" s="128" t="s">
        <v>86</v>
      </c>
      <c r="F28" s="109">
        <v>2021</v>
      </c>
      <c r="G28" s="110">
        <f>I28</f>
        <v>762788</v>
      </c>
      <c r="H28" s="111">
        <v>0</v>
      </c>
      <c r="I28" s="110">
        <v>762788</v>
      </c>
      <c r="J28" s="112"/>
      <c r="K28" s="34">
        <v>2049</v>
      </c>
      <c r="L28" s="38"/>
      <c r="M28" s="33">
        <f t="shared" si="0"/>
        <v>762788</v>
      </c>
    </row>
    <row r="29" spans="1:52" s="9" customFormat="1" ht="18.75" x14ac:dyDescent="0.3">
      <c r="A29" s="143"/>
      <c r="B29" s="144"/>
      <c r="C29" s="145"/>
      <c r="D29" s="146" t="s">
        <v>101</v>
      </c>
      <c r="E29" s="155"/>
      <c r="F29" s="148" t="s">
        <v>7</v>
      </c>
      <c r="G29" s="149" t="s">
        <v>7</v>
      </c>
      <c r="H29" s="149" t="s">
        <v>7</v>
      </c>
      <c r="I29" s="149">
        <f>SUM(I30:I34)</f>
        <v>9662800</v>
      </c>
      <c r="J29" s="150" t="s">
        <v>7</v>
      </c>
      <c r="K29" s="78"/>
      <c r="L29" s="78"/>
      <c r="M29" s="78"/>
    </row>
    <row r="30" spans="1:52" s="13" customFormat="1" ht="37.5" x14ac:dyDescent="0.3">
      <c r="A30" s="115" t="s">
        <v>11</v>
      </c>
      <c r="B30" s="156">
        <v>6030</v>
      </c>
      <c r="C30" s="115" t="s">
        <v>18</v>
      </c>
      <c r="D30" s="157" t="s">
        <v>19</v>
      </c>
      <c r="E30" s="117" t="s">
        <v>28</v>
      </c>
      <c r="F30" s="109">
        <v>2021</v>
      </c>
      <c r="G30" s="110">
        <f>I30</f>
        <v>391800</v>
      </c>
      <c r="H30" s="111">
        <v>0</v>
      </c>
      <c r="I30" s="110">
        <v>391800</v>
      </c>
      <c r="J30" s="112"/>
      <c r="K30" s="34">
        <v>2019</v>
      </c>
      <c r="L30" s="38"/>
      <c r="M30" s="33">
        <f t="shared" si="0"/>
        <v>391800</v>
      </c>
    </row>
    <row r="31" spans="1:52" s="13" customFormat="1" ht="18.75" x14ac:dyDescent="0.3">
      <c r="A31" s="120"/>
      <c r="B31" s="158"/>
      <c r="C31" s="120"/>
      <c r="D31" s="159"/>
      <c r="E31" s="117" t="s">
        <v>10</v>
      </c>
      <c r="F31" s="109">
        <v>2021</v>
      </c>
      <c r="G31" s="110">
        <v>0</v>
      </c>
      <c r="H31" s="111">
        <v>0</v>
      </c>
      <c r="I31" s="110">
        <v>4691000</v>
      </c>
      <c r="J31" s="112"/>
      <c r="K31" s="34">
        <v>2038</v>
      </c>
      <c r="L31" s="38"/>
      <c r="M31" s="33">
        <f t="shared" si="0"/>
        <v>4691000</v>
      </c>
    </row>
    <row r="32" spans="1:52" s="13" customFormat="1" ht="47.25" customHeight="1" x14ac:dyDescent="0.3">
      <c r="A32" s="160" t="s">
        <v>45</v>
      </c>
      <c r="B32" s="161">
        <v>7461</v>
      </c>
      <c r="C32" s="138" t="s">
        <v>20</v>
      </c>
      <c r="D32" s="162" t="s">
        <v>46</v>
      </c>
      <c r="E32" s="163" t="s">
        <v>178</v>
      </c>
      <c r="F32" s="109">
        <v>2021</v>
      </c>
      <c r="G32" s="110">
        <f>I32</f>
        <v>2500000</v>
      </c>
      <c r="H32" s="111">
        <v>0</v>
      </c>
      <c r="I32" s="110">
        <v>2500000</v>
      </c>
      <c r="J32" s="112"/>
      <c r="K32" s="34">
        <v>2021</v>
      </c>
      <c r="L32" s="38"/>
      <c r="M32" s="33">
        <f t="shared" si="0"/>
        <v>2500000</v>
      </c>
    </row>
    <row r="33" spans="1:52" s="13" customFormat="1" ht="34.5" customHeight="1" x14ac:dyDescent="0.3">
      <c r="A33" s="160"/>
      <c r="B33" s="161"/>
      <c r="C33" s="138"/>
      <c r="D33" s="162"/>
      <c r="E33" s="163" t="s">
        <v>47</v>
      </c>
      <c r="F33" s="109">
        <v>2021</v>
      </c>
      <c r="G33" s="110">
        <f t="shared" ref="G33:G34" si="1">I33</f>
        <v>480000</v>
      </c>
      <c r="H33" s="111">
        <v>0</v>
      </c>
      <c r="I33" s="110">
        <v>480000</v>
      </c>
      <c r="J33" s="112"/>
      <c r="K33" s="34">
        <v>2022</v>
      </c>
      <c r="L33" s="38"/>
      <c r="M33" s="33">
        <f t="shared" si="0"/>
        <v>480000</v>
      </c>
    </row>
    <row r="34" spans="1:52" s="13" customFormat="1" ht="36.75" customHeight="1" x14ac:dyDescent="0.3">
      <c r="A34" s="160"/>
      <c r="B34" s="161"/>
      <c r="C34" s="138"/>
      <c r="D34" s="162"/>
      <c r="E34" s="163" t="s">
        <v>179</v>
      </c>
      <c r="F34" s="109">
        <v>2021</v>
      </c>
      <c r="G34" s="110">
        <f t="shared" si="1"/>
        <v>1600000</v>
      </c>
      <c r="H34" s="111">
        <v>0</v>
      </c>
      <c r="I34" s="110">
        <v>1600000</v>
      </c>
      <c r="J34" s="112"/>
      <c r="K34" s="34">
        <v>2023</v>
      </c>
      <c r="L34" s="38"/>
      <c r="M34" s="33">
        <f t="shared" si="0"/>
        <v>1600000</v>
      </c>
    </row>
    <row r="35" spans="1:52" s="4" customFormat="1" ht="37.5" x14ac:dyDescent="0.2">
      <c r="A35" s="143"/>
      <c r="B35" s="144"/>
      <c r="C35" s="145"/>
      <c r="D35" s="146" t="s">
        <v>81</v>
      </c>
      <c r="E35" s="147"/>
      <c r="F35" s="148" t="s">
        <v>7</v>
      </c>
      <c r="G35" s="149" t="s">
        <v>7</v>
      </c>
      <c r="H35" s="149" t="s">
        <v>7</v>
      </c>
      <c r="I35" s="149">
        <f>SUM(I36:I39)</f>
        <v>9211716</v>
      </c>
      <c r="J35" s="150" t="s">
        <v>7</v>
      </c>
      <c r="K35" s="79"/>
      <c r="L35" s="80"/>
      <c r="M35" s="8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</row>
    <row r="36" spans="1:52" s="13" customFormat="1" ht="18.75" x14ac:dyDescent="0.3">
      <c r="A36" s="115" t="s">
        <v>11</v>
      </c>
      <c r="B36" s="131">
        <v>6030</v>
      </c>
      <c r="C36" s="132" t="s">
        <v>18</v>
      </c>
      <c r="D36" s="157" t="s">
        <v>19</v>
      </c>
      <c r="E36" s="117" t="s">
        <v>177</v>
      </c>
      <c r="F36" s="109">
        <v>2021</v>
      </c>
      <c r="G36" s="110">
        <f>I36</f>
        <v>9000000</v>
      </c>
      <c r="H36" s="111">
        <v>0</v>
      </c>
      <c r="I36" s="110">
        <v>9000000</v>
      </c>
      <c r="J36" s="112"/>
      <c r="K36" s="34">
        <v>2024</v>
      </c>
      <c r="L36" s="38"/>
      <c r="M36" s="33">
        <f t="shared" si="0"/>
        <v>9000000</v>
      </c>
    </row>
    <row r="37" spans="1:52" s="13" customFormat="1" ht="37.5" x14ac:dyDescent="0.3">
      <c r="A37" s="134"/>
      <c r="B37" s="135"/>
      <c r="C37" s="136"/>
      <c r="D37" s="164"/>
      <c r="E37" s="117" t="s">
        <v>176</v>
      </c>
      <c r="F37" s="109">
        <v>2021</v>
      </c>
      <c r="G37" s="110">
        <f t="shared" ref="G37:G39" si="2">I37</f>
        <v>125200</v>
      </c>
      <c r="H37" s="111">
        <v>0</v>
      </c>
      <c r="I37" s="110">
        <v>125200</v>
      </c>
      <c r="J37" s="112"/>
      <c r="K37" s="34">
        <v>2033</v>
      </c>
      <c r="L37" s="38"/>
      <c r="M37" s="33">
        <f t="shared" si="0"/>
        <v>125200</v>
      </c>
    </row>
    <row r="38" spans="1:52" s="13" customFormat="1" ht="56.25" x14ac:dyDescent="0.3">
      <c r="A38" s="134"/>
      <c r="B38" s="135"/>
      <c r="C38" s="136"/>
      <c r="D38" s="164"/>
      <c r="E38" s="117" t="s">
        <v>175</v>
      </c>
      <c r="F38" s="109">
        <v>2021</v>
      </c>
      <c r="G38" s="110">
        <f t="shared" si="2"/>
        <v>36750</v>
      </c>
      <c r="H38" s="111">
        <v>0</v>
      </c>
      <c r="I38" s="110">
        <v>36750</v>
      </c>
      <c r="J38" s="112"/>
      <c r="K38" s="34">
        <v>2039</v>
      </c>
      <c r="L38" s="38"/>
      <c r="M38" s="33">
        <f t="shared" si="0"/>
        <v>36750</v>
      </c>
    </row>
    <row r="39" spans="1:52" s="13" customFormat="1" ht="56.25" x14ac:dyDescent="0.3">
      <c r="A39" s="120"/>
      <c r="B39" s="152"/>
      <c r="C39" s="153"/>
      <c r="D39" s="159"/>
      <c r="E39" s="117" t="s">
        <v>174</v>
      </c>
      <c r="F39" s="109">
        <v>2021</v>
      </c>
      <c r="G39" s="110">
        <f t="shared" si="2"/>
        <v>49766</v>
      </c>
      <c r="H39" s="111">
        <v>0</v>
      </c>
      <c r="I39" s="110">
        <v>49766</v>
      </c>
      <c r="J39" s="112"/>
      <c r="K39" s="34">
        <v>2040</v>
      </c>
      <c r="L39" s="38"/>
      <c r="M39" s="33">
        <f t="shared" si="0"/>
        <v>49766</v>
      </c>
    </row>
    <row r="40" spans="1:52" ht="58.5" x14ac:dyDescent="0.2">
      <c r="A40" s="143"/>
      <c r="B40" s="144"/>
      <c r="C40" s="145"/>
      <c r="D40" s="165" t="s">
        <v>27</v>
      </c>
      <c r="E40" s="147"/>
      <c r="F40" s="148" t="s">
        <v>7</v>
      </c>
      <c r="G40" s="149" t="s">
        <v>7</v>
      </c>
      <c r="H40" s="149" t="s">
        <v>7</v>
      </c>
      <c r="I40" s="149">
        <f>SUM(I41:I42)</f>
        <v>4223551</v>
      </c>
      <c r="J40" s="150" t="s">
        <v>7</v>
      </c>
      <c r="K40" s="36"/>
      <c r="L40" s="40"/>
      <c r="M40" s="33">
        <f t="shared" si="0"/>
        <v>4223551</v>
      </c>
    </row>
    <row r="41" spans="1:52" s="13" customFormat="1" ht="56.25" x14ac:dyDescent="0.2">
      <c r="A41" s="104" t="s">
        <v>83</v>
      </c>
      <c r="B41" s="105">
        <v>2111</v>
      </c>
      <c r="C41" s="106" t="s">
        <v>85</v>
      </c>
      <c r="D41" s="166" t="s">
        <v>84</v>
      </c>
      <c r="E41" s="128" t="s">
        <v>10</v>
      </c>
      <c r="F41" s="109">
        <v>2021</v>
      </c>
      <c r="G41" s="110">
        <v>0</v>
      </c>
      <c r="H41" s="111">
        <v>0</v>
      </c>
      <c r="I41" s="110">
        <v>600000</v>
      </c>
      <c r="J41" s="112"/>
      <c r="K41" s="35">
        <v>2050</v>
      </c>
      <c r="L41" s="72">
        <v>510000</v>
      </c>
      <c r="M41" s="33">
        <f t="shared" si="0"/>
        <v>90000</v>
      </c>
      <c r="N41" s="13" t="s">
        <v>224</v>
      </c>
    </row>
    <row r="42" spans="1:52" s="13" customFormat="1" ht="56.25" x14ac:dyDescent="0.2">
      <c r="A42" s="104" t="s">
        <v>29</v>
      </c>
      <c r="B42" s="105">
        <v>7322</v>
      </c>
      <c r="C42" s="106" t="s">
        <v>211</v>
      </c>
      <c r="D42" s="166" t="s">
        <v>68</v>
      </c>
      <c r="E42" s="128" t="s">
        <v>216</v>
      </c>
      <c r="F42" s="109">
        <v>2021</v>
      </c>
      <c r="G42" s="110">
        <v>3696403</v>
      </c>
      <c r="H42" s="111">
        <v>0</v>
      </c>
      <c r="I42" s="110">
        <v>3623551</v>
      </c>
      <c r="J42" s="112"/>
      <c r="K42" s="35">
        <v>2118</v>
      </c>
      <c r="L42" s="38">
        <v>49580</v>
      </c>
      <c r="M42" s="33">
        <f t="shared" si="0"/>
        <v>3573971</v>
      </c>
    </row>
    <row r="43" spans="1:52" s="4" customFormat="1" ht="18.75" x14ac:dyDescent="0.3">
      <c r="A43" s="167" t="s">
        <v>181</v>
      </c>
      <c r="B43" s="168"/>
      <c r="C43" s="168"/>
      <c r="D43" s="169" t="s">
        <v>77</v>
      </c>
      <c r="E43" s="155"/>
      <c r="F43" s="148" t="s">
        <v>7</v>
      </c>
      <c r="G43" s="149" t="s">
        <v>7</v>
      </c>
      <c r="H43" s="149" t="s">
        <v>7</v>
      </c>
      <c r="I43" s="149">
        <f>SUM(I44:I64)</f>
        <v>123510937</v>
      </c>
      <c r="J43" s="150" t="s">
        <v>7</v>
      </c>
      <c r="K43" s="82"/>
      <c r="L43" s="83"/>
      <c r="M43" s="84"/>
    </row>
    <row r="44" spans="1:52" s="13" customFormat="1" ht="37.5" x14ac:dyDescent="0.3">
      <c r="A44" s="138" t="s">
        <v>23</v>
      </c>
      <c r="B44" s="170">
        <v>7321</v>
      </c>
      <c r="C44" s="171" t="s">
        <v>24</v>
      </c>
      <c r="D44" s="170" t="s">
        <v>50</v>
      </c>
      <c r="E44" s="172" t="s">
        <v>201</v>
      </c>
      <c r="F44" s="109">
        <v>2021</v>
      </c>
      <c r="G44" s="173">
        <f>I44</f>
        <v>3573300</v>
      </c>
      <c r="H44" s="174">
        <v>0</v>
      </c>
      <c r="I44" s="173">
        <v>3573300</v>
      </c>
      <c r="J44" s="112"/>
      <c r="K44" s="34">
        <v>2015</v>
      </c>
      <c r="L44" s="38">
        <v>49668</v>
      </c>
      <c r="M44" s="33">
        <f t="shared" si="0"/>
        <v>3523632</v>
      </c>
    </row>
    <row r="45" spans="1:52" s="13" customFormat="1" ht="37.5" x14ac:dyDescent="0.3">
      <c r="A45" s="138"/>
      <c r="B45" s="170"/>
      <c r="C45" s="171"/>
      <c r="D45" s="170"/>
      <c r="E45" s="172" t="s">
        <v>48</v>
      </c>
      <c r="F45" s="109">
        <v>2021</v>
      </c>
      <c r="G45" s="173">
        <f>I45</f>
        <v>3960000</v>
      </c>
      <c r="H45" s="174">
        <v>0</v>
      </c>
      <c r="I45" s="110">
        <v>3960000</v>
      </c>
      <c r="J45" s="112"/>
      <c r="K45" s="34">
        <v>2016</v>
      </c>
      <c r="L45" s="38"/>
      <c r="M45" s="33">
        <f t="shared" si="0"/>
        <v>3960000</v>
      </c>
    </row>
    <row r="46" spans="1:52" s="13" customFormat="1" ht="37.5" x14ac:dyDescent="0.3">
      <c r="A46" s="138"/>
      <c r="B46" s="170"/>
      <c r="C46" s="171"/>
      <c r="D46" s="170"/>
      <c r="E46" s="172" t="s">
        <v>200</v>
      </c>
      <c r="F46" s="109" t="s">
        <v>189</v>
      </c>
      <c r="G46" s="173">
        <v>158216750</v>
      </c>
      <c r="H46" s="174">
        <v>0</v>
      </c>
      <c r="I46" s="110">
        <v>26357340</v>
      </c>
      <c r="J46" s="112"/>
      <c r="K46" s="34">
        <v>2017</v>
      </c>
      <c r="L46" s="72">
        <f>3166666.67+16237.69</f>
        <v>3182904.36</v>
      </c>
      <c r="M46" s="33">
        <f t="shared" si="0"/>
        <v>23174435.640000001</v>
      </c>
    </row>
    <row r="47" spans="1:52" s="13" customFormat="1" ht="56.25" x14ac:dyDescent="0.3">
      <c r="A47" s="138"/>
      <c r="B47" s="170"/>
      <c r="C47" s="171"/>
      <c r="D47" s="170"/>
      <c r="E47" s="172" t="s">
        <v>203</v>
      </c>
      <c r="F47" s="109">
        <v>2021</v>
      </c>
      <c r="G47" s="173">
        <f>I47</f>
        <v>307000</v>
      </c>
      <c r="H47" s="174">
        <v>0</v>
      </c>
      <c r="I47" s="110">
        <v>307000</v>
      </c>
      <c r="J47" s="112"/>
      <c r="K47" s="34">
        <v>2034</v>
      </c>
      <c r="L47" s="38"/>
      <c r="M47" s="33">
        <f t="shared" si="0"/>
        <v>307000</v>
      </c>
    </row>
    <row r="48" spans="1:52" s="13" customFormat="1" ht="37.5" x14ac:dyDescent="0.3">
      <c r="A48" s="138"/>
      <c r="B48" s="170"/>
      <c r="C48" s="171"/>
      <c r="D48" s="170"/>
      <c r="E48" s="172" t="s">
        <v>247</v>
      </c>
      <c r="F48" s="109">
        <v>2021</v>
      </c>
      <c r="G48" s="173">
        <f>I48</f>
        <v>1180246</v>
      </c>
      <c r="H48" s="174">
        <v>0</v>
      </c>
      <c r="I48" s="110">
        <f>123000+1057246</f>
        <v>1180246</v>
      </c>
      <c r="J48" s="112"/>
      <c r="K48" s="34">
        <v>2035</v>
      </c>
      <c r="L48" s="38"/>
      <c r="M48" s="33">
        <f t="shared" si="0"/>
        <v>1180246</v>
      </c>
    </row>
    <row r="49" spans="1:52" s="13" customFormat="1" ht="37.5" x14ac:dyDescent="0.3">
      <c r="A49" s="138"/>
      <c r="B49" s="170"/>
      <c r="C49" s="171"/>
      <c r="D49" s="170"/>
      <c r="E49" s="172" t="s">
        <v>202</v>
      </c>
      <c r="F49" s="109" t="s">
        <v>189</v>
      </c>
      <c r="G49" s="173">
        <v>67620674</v>
      </c>
      <c r="H49" s="174">
        <v>0.3</v>
      </c>
      <c r="I49" s="110">
        <v>2714160</v>
      </c>
      <c r="J49" s="112"/>
      <c r="K49" s="34">
        <v>2003</v>
      </c>
      <c r="L49" s="38">
        <v>2714159.04</v>
      </c>
      <c r="M49" s="33">
        <f t="shared" si="0"/>
        <v>0.9599999999627471</v>
      </c>
    </row>
    <row r="50" spans="1:52" s="13" customFormat="1" ht="43.5" customHeight="1" x14ac:dyDescent="0.3">
      <c r="A50" s="138"/>
      <c r="B50" s="170"/>
      <c r="C50" s="171"/>
      <c r="D50" s="170"/>
      <c r="E50" s="172" t="s">
        <v>207</v>
      </c>
      <c r="F50" s="109">
        <v>2021</v>
      </c>
      <c r="G50" s="173">
        <v>13801319</v>
      </c>
      <c r="H50" s="174">
        <v>0</v>
      </c>
      <c r="I50" s="110">
        <v>1483886</v>
      </c>
      <c r="J50" s="112"/>
      <c r="K50" s="34">
        <v>2046</v>
      </c>
      <c r="L50" s="38"/>
      <c r="M50" s="33">
        <f t="shared" si="0"/>
        <v>1483886</v>
      </c>
    </row>
    <row r="51" spans="1:52" s="13" customFormat="1" ht="81" customHeight="1" x14ac:dyDescent="0.3">
      <c r="A51" s="138"/>
      <c r="B51" s="170"/>
      <c r="C51" s="171"/>
      <c r="D51" s="170"/>
      <c r="E51" s="175" t="s">
        <v>245</v>
      </c>
      <c r="F51" s="109">
        <v>2021</v>
      </c>
      <c r="G51" s="176">
        <v>127980</v>
      </c>
      <c r="H51" s="174">
        <v>0</v>
      </c>
      <c r="I51" s="110">
        <v>127980</v>
      </c>
      <c r="J51" s="112"/>
      <c r="K51" s="34">
        <v>2132</v>
      </c>
      <c r="L51" s="38"/>
      <c r="M51" s="33">
        <f t="shared" si="0"/>
        <v>127980</v>
      </c>
    </row>
    <row r="52" spans="1:52" s="13" customFormat="1" ht="76.5" customHeight="1" x14ac:dyDescent="0.3">
      <c r="A52" s="138"/>
      <c r="B52" s="170"/>
      <c r="C52" s="171"/>
      <c r="D52" s="170"/>
      <c r="E52" s="175" t="s">
        <v>246</v>
      </c>
      <c r="F52" s="109">
        <v>2021</v>
      </c>
      <c r="G52" s="176">
        <v>30780</v>
      </c>
      <c r="H52" s="174">
        <v>0</v>
      </c>
      <c r="I52" s="110">
        <v>30780</v>
      </c>
      <c r="J52" s="112"/>
      <c r="K52" s="34">
        <v>2133</v>
      </c>
      <c r="L52" s="38"/>
      <c r="M52" s="33">
        <f t="shared" si="0"/>
        <v>30780</v>
      </c>
    </row>
    <row r="53" spans="1:52" s="13" customFormat="1" ht="66" customHeight="1" x14ac:dyDescent="0.3">
      <c r="A53" s="138"/>
      <c r="B53" s="170"/>
      <c r="C53" s="171"/>
      <c r="D53" s="170"/>
      <c r="E53" s="175" t="s">
        <v>248</v>
      </c>
      <c r="F53" s="109">
        <v>2021</v>
      </c>
      <c r="G53" s="176">
        <v>134450</v>
      </c>
      <c r="H53" s="174">
        <v>0</v>
      </c>
      <c r="I53" s="110">
        <v>134450</v>
      </c>
      <c r="J53" s="112"/>
      <c r="K53" s="34">
        <v>2134</v>
      </c>
      <c r="L53" s="38"/>
      <c r="M53" s="33">
        <f t="shared" si="0"/>
        <v>134450</v>
      </c>
    </row>
    <row r="54" spans="1:52" s="13" customFormat="1" ht="61.5" customHeight="1" x14ac:dyDescent="0.3">
      <c r="A54" s="138"/>
      <c r="B54" s="170"/>
      <c r="C54" s="171"/>
      <c r="D54" s="170"/>
      <c r="E54" s="175" t="s">
        <v>249</v>
      </c>
      <c r="F54" s="109">
        <v>2021</v>
      </c>
      <c r="G54" s="176">
        <v>38880</v>
      </c>
      <c r="H54" s="174">
        <v>0</v>
      </c>
      <c r="I54" s="110">
        <v>38880</v>
      </c>
      <c r="J54" s="112"/>
      <c r="K54" s="34">
        <v>2135</v>
      </c>
      <c r="L54" s="38"/>
      <c r="M54" s="33">
        <f t="shared" si="0"/>
        <v>38880</v>
      </c>
    </row>
    <row r="55" spans="1:52" s="13" customFormat="1" ht="39.75" customHeight="1" x14ac:dyDescent="0.3">
      <c r="A55" s="138"/>
      <c r="B55" s="170"/>
      <c r="C55" s="171"/>
      <c r="D55" s="170"/>
      <c r="E55" s="175" t="s">
        <v>250</v>
      </c>
      <c r="F55" s="109">
        <v>2021</v>
      </c>
      <c r="G55" s="176">
        <v>289310</v>
      </c>
      <c r="H55" s="174">
        <v>0</v>
      </c>
      <c r="I55" s="110">
        <v>289310</v>
      </c>
      <c r="J55" s="112"/>
      <c r="K55" s="34">
        <v>2136</v>
      </c>
      <c r="L55" s="38"/>
      <c r="M55" s="33">
        <f t="shared" si="0"/>
        <v>289310</v>
      </c>
    </row>
    <row r="56" spans="1:52" s="13" customFormat="1" ht="34.5" customHeight="1" x14ac:dyDescent="0.3">
      <c r="A56" s="138"/>
      <c r="B56" s="170"/>
      <c r="C56" s="171"/>
      <c r="D56" s="170"/>
      <c r="E56" s="175" t="s">
        <v>251</v>
      </c>
      <c r="F56" s="109">
        <v>2021</v>
      </c>
      <c r="G56" s="176">
        <v>476280</v>
      </c>
      <c r="H56" s="174">
        <v>0</v>
      </c>
      <c r="I56" s="110">
        <v>476280</v>
      </c>
      <c r="J56" s="112"/>
      <c r="K56" s="34">
        <v>2137</v>
      </c>
      <c r="L56" s="38">
        <f>72446.73+42274.08</f>
        <v>114720.81</v>
      </c>
      <c r="M56" s="33">
        <f t="shared" si="0"/>
        <v>361559.19</v>
      </c>
    </row>
    <row r="57" spans="1:52" s="13" customFormat="1" ht="34.5" customHeight="1" x14ac:dyDescent="0.3">
      <c r="A57" s="138"/>
      <c r="B57" s="170"/>
      <c r="C57" s="171"/>
      <c r="D57" s="170"/>
      <c r="E57" s="175" t="s">
        <v>252</v>
      </c>
      <c r="F57" s="109">
        <v>2021</v>
      </c>
      <c r="G57" s="176">
        <v>894230</v>
      </c>
      <c r="H57" s="174">
        <v>0</v>
      </c>
      <c r="I57" s="177">
        <v>894230</v>
      </c>
      <c r="J57" s="112"/>
      <c r="K57" s="34">
        <v>2138</v>
      </c>
      <c r="L57" s="38">
        <v>188859.32</v>
      </c>
      <c r="M57" s="33">
        <f t="shared" si="0"/>
        <v>705370.67999999993</v>
      </c>
    </row>
    <row r="58" spans="1:52" s="13" customFormat="1" ht="53.25" customHeight="1" x14ac:dyDescent="0.3">
      <c r="A58" s="138"/>
      <c r="B58" s="170"/>
      <c r="C58" s="171"/>
      <c r="D58" s="170"/>
      <c r="E58" s="175" t="s">
        <v>253</v>
      </c>
      <c r="F58" s="109">
        <v>2021</v>
      </c>
      <c r="G58" s="176">
        <v>98099</v>
      </c>
      <c r="H58" s="174">
        <v>0</v>
      </c>
      <c r="I58" s="177">
        <v>98099</v>
      </c>
      <c r="J58" s="112"/>
      <c r="K58" s="34">
        <v>2139</v>
      </c>
      <c r="L58" s="38"/>
      <c r="M58" s="33">
        <f t="shared" si="0"/>
        <v>98099</v>
      </c>
    </row>
    <row r="59" spans="1:52" s="13" customFormat="1" ht="19.5" customHeight="1" x14ac:dyDescent="0.2">
      <c r="A59" s="178" t="s">
        <v>149</v>
      </c>
      <c r="B59" s="179"/>
      <c r="C59" s="179"/>
      <c r="D59" s="179"/>
      <c r="E59" s="179"/>
      <c r="F59" s="179"/>
      <c r="G59" s="179"/>
      <c r="H59" s="179"/>
      <c r="I59" s="179"/>
      <c r="J59" s="180"/>
      <c r="K59" s="85"/>
      <c r="L59" s="86"/>
      <c r="M59" s="87"/>
    </row>
    <row r="60" spans="1:52" s="13" customFormat="1" ht="37.5" x14ac:dyDescent="0.3">
      <c r="A60" s="115" t="s">
        <v>69</v>
      </c>
      <c r="B60" s="133">
        <v>7368</v>
      </c>
      <c r="C60" s="115" t="s">
        <v>5</v>
      </c>
      <c r="D60" s="133" t="s">
        <v>70</v>
      </c>
      <c r="E60" s="117" t="s">
        <v>172</v>
      </c>
      <c r="F60" s="109" t="s">
        <v>189</v>
      </c>
      <c r="G60" s="110">
        <v>67620674</v>
      </c>
      <c r="H60" s="181">
        <v>0.3</v>
      </c>
      <c r="I60" s="110">
        <f>30000000-22754622</f>
        <v>7245378</v>
      </c>
      <c r="J60" s="112"/>
      <c r="K60" s="34">
        <v>2044</v>
      </c>
      <c r="L60" s="73">
        <f>4822676.23+949801.15</f>
        <v>5772477.3800000008</v>
      </c>
      <c r="M60" s="33">
        <f t="shared" si="0"/>
        <v>1472900.6199999992</v>
      </c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s="13" customFormat="1" ht="75" x14ac:dyDescent="0.3">
      <c r="A61" s="134"/>
      <c r="B61" s="137"/>
      <c r="C61" s="134"/>
      <c r="D61" s="137"/>
      <c r="E61" s="117" t="s">
        <v>241</v>
      </c>
      <c r="F61" s="109">
        <v>2021</v>
      </c>
      <c r="G61" s="110">
        <v>9513572</v>
      </c>
      <c r="H61" s="174">
        <v>0</v>
      </c>
      <c r="I61" s="110">
        <v>3458984</v>
      </c>
      <c r="J61" s="112"/>
      <c r="K61" s="34">
        <v>2045</v>
      </c>
      <c r="L61" s="73">
        <v>2400009.16</v>
      </c>
      <c r="M61" s="33">
        <f t="shared" si="0"/>
        <v>1058974.8399999999</v>
      </c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s="13" customFormat="1" ht="37.5" x14ac:dyDescent="0.3">
      <c r="A62" s="134"/>
      <c r="B62" s="137"/>
      <c r="C62" s="134"/>
      <c r="D62" s="137"/>
      <c r="E62" s="182" t="s">
        <v>208</v>
      </c>
      <c r="F62" s="109">
        <v>2021</v>
      </c>
      <c r="G62" s="110">
        <v>13801319</v>
      </c>
      <c r="H62" s="174">
        <v>0</v>
      </c>
      <c r="I62" s="110">
        <v>5970687</v>
      </c>
      <c r="J62" s="112"/>
      <c r="K62" s="34">
        <v>2046</v>
      </c>
      <c r="L62" s="42">
        <f>2730000+2370897.32</f>
        <v>5100897.32</v>
      </c>
      <c r="M62" s="33">
        <f t="shared" si="0"/>
        <v>869789.6799999997</v>
      </c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s="13" customFormat="1" ht="37.5" x14ac:dyDescent="0.3">
      <c r="A63" s="120"/>
      <c r="B63" s="183"/>
      <c r="C63" s="120"/>
      <c r="D63" s="183"/>
      <c r="E63" s="184" t="s">
        <v>240</v>
      </c>
      <c r="F63" s="109">
        <v>2021</v>
      </c>
      <c r="G63" s="110">
        <v>80066712</v>
      </c>
      <c r="H63" s="174">
        <v>0.6</v>
      </c>
      <c r="I63" s="110">
        <v>30000000</v>
      </c>
      <c r="J63" s="112"/>
      <c r="K63" s="34">
        <v>2129</v>
      </c>
      <c r="L63" s="42">
        <v>14643439.1</v>
      </c>
      <c r="M63" s="33">
        <f t="shared" si="0"/>
        <v>15356560.9</v>
      </c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s="13" customFormat="1" ht="37.5" x14ac:dyDescent="0.3">
      <c r="A64" s="185" t="s">
        <v>145</v>
      </c>
      <c r="B64" s="186">
        <v>7366</v>
      </c>
      <c r="C64" s="187" t="s">
        <v>5</v>
      </c>
      <c r="D64" s="123" t="s">
        <v>146</v>
      </c>
      <c r="E64" s="117" t="s">
        <v>209</v>
      </c>
      <c r="F64" s="109" t="s">
        <v>189</v>
      </c>
      <c r="G64" s="110">
        <v>158216750</v>
      </c>
      <c r="H64" s="174">
        <v>0</v>
      </c>
      <c r="I64" s="110">
        <v>35169947</v>
      </c>
      <c r="J64" s="112"/>
      <c r="K64" s="34">
        <v>2097</v>
      </c>
      <c r="L64" s="73">
        <v>15833333.33</v>
      </c>
      <c r="M64" s="33">
        <f t="shared" si="0"/>
        <v>19336613.670000002</v>
      </c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14" s="4" customFormat="1" ht="37.5" x14ac:dyDescent="0.3">
      <c r="A65" s="167" t="s">
        <v>184</v>
      </c>
      <c r="B65" s="168"/>
      <c r="C65" s="168"/>
      <c r="D65" s="169" t="s">
        <v>76</v>
      </c>
      <c r="E65" s="155"/>
      <c r="F65" s="148" t="s">
        <v>7</v>
      </c>
      <c r="G65" s="149" t="s">
        <v>7</v>
      </c>
      <c r="H65" s="149" t="s">
        <v>7</v>
      </c>
      <c r="I65" s="149">
        <f>I66</f>
        <v>866000</v>
      </c>
      <c r="J65" s="150" t="s">
        <v>7</v>
      </c>
      <c r="K65" s="37"/>
      <c r="L65" s="41"/>
      <c r="M65" s="33">
        <f t="shared" si="0"/>
        <v>866000</v>
      </c>
    </row>
    <row r="66" spans="1:14" s="13" customFormat="1" ht="35.25" customHeight="1" x14ac:dyDescent="0.3">
      <c r="A66" s="104" t="s">
        <v>73</v>
      </c>
      <c r="B66" s="188" t="s">
        <v>72</v>
      </c>
      <c r="C66" s="189" t="s">
        <v>16</v>
      </c>
      <c r="D66" s="123" t="s">
        <v>74</v>
      </c>
      <c r="E66" s="117" t="s">
        <v>75</v>
      </c>
      <c r="F66" s="109">
        <v>2021</v>
      </c>
      <c r="G66" s="173">
        <f>I66</f>
        <v>866000</v>
      </c>
      <c r="H66" s="174">
        <v>0</v>
      </c>
      <c r="I66" s="173">
        <v>866000</v>
      </c>
      <c r="J66" s="112"/>
      <c r="K66" s="34">
        <v>2048</v>
      </c>
      <c r="L66" s="38">
        <f>49516+237154.63+283962.35</f>
        <v>570632.98</v>
      </c>
      <c r="M66" s="33">
        <f>I66-L66</f>
        <v>295367.02</v>
      </c>
    </row>
    <row r="67" spans="1:14" s="29" customFormat="1" ht="37.5" x14ac:dyDescent="0.3">
      <c r="A67" s="167" t="s">
        <v>183</v>
      </c>
      <c r="B67" s="190"/>
      <c r="C67" s="191"/>
      <c r="D67" s="192" t="s">
        <v>87</v>
      </c>
      <c r="E67" s="193"/>
      <c r="F67" s="148" t="s">
        <v>7</v>
      </c>
      <c r="G67" s="149" t="s">
        <v>7</v>
      </c>
      <c r="H67" s="149" t="s">
        <v>7</v>
      </c>
      <c r="I67" s="149">
        <f>I68</f>
        <v>15500</v>
      </c>
      <c r="J67" s="150" t="s">
        <v>7</v>
      </c>
      <c r="K67" s="32"/>
      <c r="L67" s="42"/>
      <c r="M67" s="33">
        <f t="shared" si="0"/>
        <v>15500</v>
      </c>
    </row>
    <row r="68" spans="1:14" s="13" customFormat="1" ht="37.5" x14ac:dyDescent="0.2">
      <c r="A68" s="104" t="s">
        <v>88</v>
      </c>
      <c r="B68" s="126">
        <v>5041</v>
      </c>
      <c r="C68" s="194" t="s">
        <v>90</v>
      </c>
      <c r="D68" s="195" t="s">
        <v>89</v>
      </c>
      <c r="E68" s="108" t="s">
        <v>10</v>
      </c>
      <c r="F68" s="109">
        <v>2021</v>
      </c>
      <c r="G68" s="110">
        <v>0</v>
      </c>
      <c r="H68" s="174">
        <v>0</v>
      </c>
      <c r="I68" s="110">
        <v>15500</v>
      </c>
      <c r="J68" s="112"/>
      <c r="K68" s="34">
        <v>2051</v>
      </c>
      <c r="L68" s="43">
        <v>15500</v>
      </c>
      <c r="M68" s="33">
        <f t="shared" si="0"/>
        <v>0</v>
      </c>
      <c r="N68" s="13" t="s">
        <v>106</v>
      </c>
    </row>
    <row r="69" spans="1:14" s="14" customFormat="1" ht="20.25" x14ac:dyDescent="0.3">
      <c r="A69" s="196" t="s">
        <v>14</v>
      </c>
      <c r="B69" s="197"/>
      <c r="C69" s="197"/>
      <c r="D69" s="197"/>
      <c r="E69" s="197"/>
      <c r="F69" s="198" t="s">
        <v>7</v>
      </c>
      <c r="G69" s="199" t="s">
        <v>7</v>
      </c>
      <c r="H69" s="199" t="s">
        <v>7</v>
      </c>
      <c r="I69" s="199">
        <f>I70+I85+I90+I92+I146+I139+I144+I175+I183+I186+I179</f>
        <v>133192751.71000001</v>
      </c>
      <c r="J69" s="198" t="s">
        <v>7</v>
      </c>
      <c r="K69" s="44"/>
      <c r="L69" s="45">
        <f>SUM(L70:L187)</f>
        <v>42637720.150000006</v>
      </c>
      <c r="M69" s="45">
        <f>I69-L69</f>
        <v>90555031.560000002</v>
      </c>
    </row>
    <row r="70" spans="1:14" s="4" customFormat="1" ht="18.75" x14ac:dyDescent="0.2">
      <c r="A70" s="167" t="s">
        <v>182</v>
      </c>
      <c r="B70" s="200"/>
      <c r="C70" s="201"/>
      <c r="D70" s="169" t="s">
        <v>9</v>
      </c>
      <c r="E70" s="148"/>
      <c r="F70" s="148" t="s">
        <v>7</v>
      </c>
      <c r="G70" s="149" t="s">
        <v>7</v>
      </c>
      <c r="H70" s="149" t="s">
        <v>7</v>
      </c>
      <c r="I70" s="202">
        <f>SUM(I71:I82)+I84</f>
        <v>18378206</v>
      </c>
      <c r="J70" s="150" t="s">
        <v>7</v>
      </c>
      <c r="K70" s="82"/>
      <c r="L70" s="83"/>
      <c r="M70" s="84"/>
    </row>
    <row r="71" spans="1:14" s="13" customFormat="1" ht="93.75" x14ac:dyDescent="0.2">
      <c r="A71" s="203" t="s">
        <v>8</v>
      </c>
      <c r="B71" s="188" t="s">
        <v>15</v>
      </c>
      <c r="C71" s="104" t="s">
        <v>16</v>
      </c>
      <c r="D71" s="123" t="s">
        <v>17</v>
      </c>
      <c r="E71" s="108" t="s">
        <v>10</v>
      </c>
      <c r="F71" s="109">
        <v>2021</v>
      </c>
      <c r="G71" s="110">
        <v>0</v>
      </c>
      <c r="H71" s="111">
        <v>0</v>
      </c>
      <c r="I71" s="110">
        <f>662000-24800+1270000</f>
        <v>1907200</v>
      </c>
      <c r="J71" s="112"/>
      <c r="K71" s="34">
        <v>2026</v>
      </c>
      <c r="L71" s="38">
        <f>76930+1226400+107475+64120</f>
        <v>1474925</v>
      </c>
      <c r="M71" s="33">
        <f t="shared" si="0"/>
        <v>432275</v>
      </c>
      <c r="N71" s="13" t="s">
        <v>221</v>
      </c>
    </row>
    <row r="72" spans="1:14" s="13" customFormat="1" ht="56.25" x14ac:dyDescent="0.2">
      <c r="A72" s="203" t="s">
        <v>60</v>
      </c>
      <c r="B72" s="188">
        <v>7363</v>
      </c>
      <c r="C72" s="104" t="s">
        <v>5</v>
      </c>
      <c r="D72" s="123" t="s">
        <v>61</v>
      </c>
      <c r="E72" s="108" t="s">
        <v>62</v>
      </c>
      <c r="F72" s="109">
        <v>2021</v>
      </c>
      <c r="G72" s="110">
        <v>5261884</v>
      </c>
      <c r="H72" s="111">
        <v>0</v>
      </c>
      <c r="I72" s="110">
        <v>3035438</v>
      </c>
      <c r="J72" s="112"/>
      <c r="K72" s="34">
        <v>2042</v>
      </c>
      <c r="L72" s="38">
        <f>36575.65+2748583.96</f>
        <v>2785159.61</v>
      </c>
      <c r="M72" s="33">
        <f t="shared" si="0"/>
        <v>250278.39000000013</v>
      </c>
    </row>
    <row r="73" spans="1:14" s="13" customFormat="1" ht="18.75" x14ac:dyDescent="0.2">
      <c r="A73" s="203" t="s">
        <v>98</v>
      </c>
      <c r="B73" s="188">
        <v>8230</v>
      </c>
      <c r="C73" s="104" t="s">
        <v>100</v>
      </c>
      <c r="D73" s="123" t="s">
        <v>99</v>
      </c>
      <c r="E73" s="108" t="s">
        <v>10</v>
      </c>
      <c r="F73" s="109">
        <v>2021</v>
      </c>
      <c r="G73" s="110">
        <v>0</v>
      </c>
      <c r="H73" s="111">
        <v>0</v>
      </c>
      <c r="I73" s="110">
        <v>1905000</v>
      </c>
      <c r="J73" s="112"/>
      <c r="K73" s="34">
        <v>2055</v>
      </c>
      <c r="L73" s="72">
        <v>1839600</v>
      </c>
      <c r="M73" s="33">
        <f t="shared" si="0"/>
        <v>65400</v>
      </c>
      <c r="N73" s="13" t="s">
        <v>217</v>
      </c>
    </row>
    <row r="74" spans="1:14" s="13" customFormat="1" ht="56.25" x14ac:dyDescent="0.2">
      <c r="A74" s="115" t="s">
        <v>63</v>
      </c>
      <c r="B74" s="131">
        <v>6040</v>
      </c>
      <c r="C74" s="132" t="s">
        <v>65</v>
      </c>
      <c r="D74" s="157" t="s">
        <v>64</v>
      </c>
      <c r="E74" s="108" t="s">
        <v>103</v>
      </c>
      <c r="F74" s="109">
        <v>2021</v>
      </c>
      <c r="G74" s="110">
        <f t="shared" ref="G74:G76" si="3">I74</f>
        <v>6750</v>
      </c>
      <c r="H74" s="111">
        <v>0</v>
      </c>
      <c r="I74" s="110">
        <v>6750</v>
      </c>
      <c r="J74" s="112"/>
      <c r="K74" s="34">
        <v>2056</v>
      </c>
      <c r="L74" s="38"/>
      <c r="M74" s="33">
        <f t="shared" si="0"/>
        <v>6750</v>
      </c>
    </row>
    <row r="75" spans="1:14" s="13" customFormat="1" ht="56.25" x14ac:dyDescent="0.2">
      <c r="A75" s="134"/>
      <c r="B75" s="135"/>
      <c r="C75" s="136"/>
      <c r="D75" s="164"/>
      <c r="E75" s="108" t="s">
        <v>104</v>
      </c>
      <c r="F75" s="109">
        <v>2021</v>
      </c>
      <c r="G75" s="110">
        <f t="shared" si="3"/>
        <v>49900</v>
      </c>
      <c r="H75" s="111">
        <v>0</v>
      </c>
      <c r="I75" s="110">
        <v>49900</v>
      </c>
      <c r="J75" s="112"/>
      <c r="K75" s="34">
        <v>2057</v>
      </c>
      <c r="L75" s="72">
        <v>12883.24</v>
      </c>
      <c r="M75" s="33">
        <f t="shared" si="0"/>
        <v>37016.76</v>
      </c>
    </row>
    <row r="76" spans="1:14" s="13" customFormat="1" ht="75" x14ac:dyDescent="0.2">
      <c r="A76" s="134"/>
      <c r="B76" s="135"/>
      <c r="C76" s="136"/>
      <c r="D76" s="164"/>
      <c r="E76" s="108" t="s">
        <v>199</v>
      </c>
      <c r="F76" s="109">
        <v>2021</v>
      </c>
      <c r="G76" s="110">
        <f t="shared" si="3"/>
        <v>13088</v>
      </c>
      <c r="H76" s="111">
        <v>0</v>
      </c>
      <c r="I76" s="110">
        <v>13088</v>
      </c>
      <c r="J76" s="112"/>
      <c r="K76" s="34">
        <v>2058</v>
      </c>
      <c r="L76" s="38"/>
      <c r="M76" s="33">
        <f t="shared" si="0"/>
        <v>13088</v>
      </c>
    </row>
    <row r="77" spans="1:14" s="13" customFormat="1" ht="75" x14ac:dyDescent="0.2">
      <c r="A77" s="120"/>
      <c r="B77" s="152"/>
      <c r="C77" s="153"/>
      <c r="D77" s="159"/>
      <c r="E77" s="108" t="s">
        <v>105</v>
      </c>
      <c r="F77" s="109">
        <v>2021</v>
      </c>
      <c r="G77" s="110">
        <f>I77</f>
        <v>13088</v>
      </c>
      <c r="H77" s="111">
        <v>0</v>
      </c>
      <c r="I77" s="110">
        <v>13088</v>
      </c>
      <c r="J77" s="112"/>
      <c r="K77" s="34">
        <v>2059</v>
      </c>
      <c r="L77" s="38"/>
      <c r="M77" s="33">
        <f t="shared" si="0"/>
        <v>13088</v>
      </c>
    </row>
    <row r="78" spans="1:14" s="13" customFormat="1" ht="56.25" x14ac:dyDescent="0.3">
      <c r="A78" s="104" t="s">
        <v>30</v>
      </c>
      <c r="B78" s="126">
        <v>7370</v>
      </c>
      <c r="C78" s="106" t="s">
        <v>5</v>
      </c>
      <c r="D78" s="127" t="s">
        <v>31</v>
      </c>
      <c r="E78" s="108" t="s">
        <v>127</v>
      </c>
      <c r="F78" s="109">
        <v>2021</v>
      </c>
      <c r="G78" s="110">
        <f>I78</f>
        <v>2737372</v>
      </c>
      <c r="H78" s="111">
        <v>0</v>
      </c>
      <c r="I78" s="110">
        <f>2752373-15001</f>
        <v>2737372</v>
      </c>
      <c r="J78" s="112"/>
      <c r="K78" s="34">
        <v>2060</v>
      </c>
      <c r="L78" s="72">
        <v>2712760</v>
      </c>
      <c r="M78" s="33">
        <f t="shared" si="0"/>
        <v>24612</v>
      </c>
    </row>
    <row r="79" spans="1:14" s="13" customFormat="1" ht="18.75" x14ac:dyDescent="0.2">
      <c r="A79" s="115" t="s">
        <v>11</v>
      </c>
      <c r="B79" s="131">
        <v>6030</v>
      </c>
      <c r="C79" s="132" t="s">
        <v>18</v>
      </c>
      <c r="D79" s="204" t="s">
        <v>19</v>
      </c>
      <c r="E79" s="205" t="s">
        <v>10</v>
      </c>
      <c r="F79" s="156">
        <v>2021</v>
      </c>
      <c r="G79" s="206">
        <v>0</v>
      </c>
      <c r="H79" s="207">
        <v>0</v>
      </c>
      <c r="I79" s="110">
        <v>2808550</v>
      </c>
      <c r="J79" s="112"/>
      <c r="K79" s="34">
        <v>2069</v>
      </c>
      <c r="L79" s="38"/>
      <c r="M79" s="33">
        <f t="shared" si="0"/>
        <v>2808550</v>
      </c>
    </row>
    <row r="80" spans="1:14" s="55" customFormat="1" ht="18.75" x14ac:dyDescent="0.2">
      <c r="A80" s="120"/>
      <c r="B80" s="152"/>
      <c r="C80" s="153"/>
      <c r="D80" s="208"/>
      <c r="E80" s="209"/>
      <c r="F80" s="158"/>
      <c r="G80" s="210"/>
      <c r="H80" s="211"/>
      <c r="I80" s="110">
        <v>1683000</v>
      </c>
      <c r="J80" s="112"/>
      <c r="K80" s="66">
        <v>2099</v>
      </c>
      <c r="L80" s="74">
        <v>1683000</v>
      </c>
      <c r="M80" s="68">
        <f t="shared" si="0"/>
        <v>0</v>
      </c>
      <c r="N80" s="55" t="s">
        <v>219</v>
      </c>
    </row>
    <row r="81" spans="1:52" s="13" customFormat="1" ht="56.25" x14ac:dyDescent="0.3">
      <c r="A81" s="203" t="s">
        <v>126</v>
      </c>
      <c r="B81" s="105">
        <v>7330</v>
      </c>
      <c r="C81" s="106" t="s">
        <v>5</v>
      </c>
      <c r="D81" s="212" t="s">
        <v>125</v>
      </c>
      <c r="E81" s="117" t="s">
        <v>150</v>
      </c>
      <c r="F81" s="109">
        <v>2021</v>
      </c>
      <c r="G81" s="110">
        <f>I81</f>
        <v>700000</v>
      </c>
      <c r="H81" s="111">
        <v>0</v>
      </c>
      <c r="I81" s="110">
        <v>700000</v>
      </c>
      <c r="J81" s="112"/>
      <c r="K81" s="34">
        <v>2098</v>
      </c>
      <c r="L81" s="38">
        <v>571347.6</v>
      </c>
      <c r="M81" s="33">
        <f t="shared" si="0"/>
        <v>128652.40000000002</v>
      </c>
    </row>
    <row r="82" spans="1:52" s="13" customFormat="1" ht="56.25" customHeight="1" x14ac:dyDescent="0.2">
      <c r="A82" s="203" t="s">
        <v>45</v>
      </c>
      <c r="B82" s="213">
        <v>7461</v>
      </c>
      <c r="C82" s="214" t="s">
        <v>20</v>
      </c>
      <c r="D82" s="215" t="s">
        <v>46</v>
      </c>
      <c r="E82" s="128" t="s">
        <v>261</v>
      </c>
      <c r="F82" s="109">
        <v>2021</v>
      </c>
      <c r="G82" s="110">
        <v>49920</v>
      </c>
      <c r="H82" s="111">
        <v>0</v>
      </c>
      <c r="I82" s="110">
        <v>49920</v>
      </c>
      <c r="J82" s="112"/>
      <c r="K82" s="34">
        <v>2147</v>
      </c>
      <c r="L82" s="38">
        <v>49920</v>
      </c>
      <c r="M82" s="33">
        <f t="shared" si="0"/>
        <v>0</v>
      </c>
    </row>
    <row r="83" spans="1:52" s="92" customFormat="1" ht="18.75" customHeight="1" x14ac:dyDescent="0.2">
      <c r="A83" s="216"/>
      <c r="B83" s="217"/>
      <c r="C83" s="217"/>
      <c r="D83" s="218" t="s">
        <v>149</v>
      </c>
      <c r="E83" s="219"/>
      <c r="F83" s="219"/>
      <c r="G83" s="219"/>
      <c r="H83" s="219"/>
      <c r="I83" s="219"/>
      <c r="J83" s="219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</row>
    <row r="84" spans="1:52" s="13" customFormat="1" ht="37.5" x14ac:dyDescent="0.2">
      <c r="A84" s="104" t="s">
        <v>168</v>
      </c>
      <c r="B84" s="105">
        <v>6082</v>
      </c>
      <c r="C84" s="106" t="s">
        <v>34</v>
      </c>
      <c r="D84" s="107" t="s">
        <v>169</v>
      </c>
      <c r="E84" s="108" t="s">
        <v>274</v>
      </c>
      <c r="F84" s="109">
        <v>2021</v>
      </c>
      <c r="G84" s="110">
        <v>4895627</v>
      </c>
      <c r="H84" s="111">
        <v>0</v>
      </c>
      <c r="I84" s="110">
        <v>3468900</v>
      </c>
      <c r="J84" s="112"/>
      <c r="K84" s="34">
        <v>2115</v>
      </c>
      <c r="L84" s="38"/>
      <c r="M84" s="33">
        <f>I84-L84</f>
        <v>3468900</v>
      </c>
    </row>
    <row r="85" spans="1:52" ht="47.25" customHeight="1" x14ac:dyDescent="0.2">
      <c r="A85" s="143"/>
      <c r="B85" s="144"/>
      <c r="C85" s="145"/>
      <c r="D85" s="165" t="s">
        <v>27</v>
      </c>
      <c r="E85" s="147"/>
      <c r="F85" s="148" t="s">
        <v>7</v>
      </c>
      <c r="G85" s="149" t="s">
        <v>7</v>
      </c>
      <c r="H85" s="149" t="s">
        <v>7</v>
      </c>
      <c r="I85" s="149">
        <f>SUM(I86:I89)</f>
        <v>717852</v>
      </c>
      <c r="J85" s="150" t="s">
        <v>7</v>
      </c>
      <c r="K85" s="88"/>
      <c r="L85" s="89"/>
      <c r="M85" s="90"/>
    </row>
    <row r="86" spans="1:52" s="13" customFormat="1" ht="56.25" x14ac:dyDescent="0.2">
      <c r="A86" s="115" t="s">
        <v>29</v>
      </c>
      <c r="B86" s="131">
        <v>7322</v>
      </c>
      <c r="C86" s="132" t="s">
        <v>211</v>
      </c>
      <c r="D86" s="220" t="s">
        <v>68</v>
      </c>
      <c r="E86" s="128" t="s">
        <v>51</v>
      </c>
      <c r="F86" s="109">
        <v>2021</v>
      </c>
      <c r="G86" s="110">
        <f>I86</f>
        <v>300000</v>
      </c>
      <c r="H86" s="111">
        <v>0</v>
      </c>
      <c r="I86" s="110">
        <v>300000</v>
      </c>
      <c r="J86" s="112"/>
      <c r="K86" s="69">
        <v>2029</v>
      </c>
      <c r="L86" s="74">
        <v>297772.79999999999</v>
      </c>
      <c r="M86" s="68">
        <f t="shared" si="0"/>
        <v>2227.2000000000116</v>
      </c>
    </row>
    <row r="87" spans="1:52" s="13" customFormat="1" ht="56.25" x14ac:dyDescent="0.2">
      <c r="A87" s="134"/>
      <c r="B87" s="135"/>
      <c r="C87" s="136"/>
      <c r="D87" s="221"/>
      <c r="E87" s="128" t="s">
        <v>276</v>
      </c>
      <c r="F87" s="109">
        <v>2021</v>
      </c>
      <c r="G87" s="110">
        <f>I87</f>
        <v>300000</v>
      </c>
      <c r="H87" s="111">
        <v>0</v>
      </c>
      <c r="I87" s="110">
        <v>300000</v>
      </c>
      <c r="J87" s="112"/>
      <c r="K87" s="34">
        <v>2030</v>
      </c>
      <c r="L87" s="38">
        <v>0</v>
      </c>
      <c r="M87" s="33">
        <f t="shared" si="0"/>
        <v>300000</v>
      </c>
    </row>
    <row r="88" spans="1:52" s="13" customFormat="1" ht="56.25" x14ac:dyDescent="0.2">
      <c r="A88" s="120"/>
      <c r="B88" s="152"/>
      <c r="C88" s="153"/>
      <c r="D88" s="222"/>
      <c r="E88" s="128" t="s">
        <v>216</v>
      </c>
      <c r="F88" s="109">
        <v>2021</v>
      </c>
      <c r="G88" s="110">
        <f>72852+I42</f>
        <v>3696403</v>
      </c>
      <c r="H88" s="111">
        <v>0</v>
      </c>
      <c r="I88" s="110">
        <v>72852</v>
      </c>
      <c r="J88" s="112"/>
      <c r="K88" s="34">
        <v>2118</v>
      </c>
      <c r="L88" s="72"/>
      <c r="M88" s="33"/>
    </row>
    <row r="89" spans="1:52" s="13" customFormat="1" ht="56.25" x14ac:dyDescent="0.2">
      <c r="A89" s="104" t="s">
        <v>83</v>
      </c>
      <c r="B89" s="105">
        <v>2111</v>
      </c>
      <c r="C89" s="106" t="s">
        <v>85</v>
      </c>
      <c r="D89" s="166" t="s">
        <v>84</v>
      </c>
      <c r="E89" s="128" t="s">
        <v>10</v>
      </c>
      <c r="F89" s="109">
        <v>2021</v>
      </c>
      <c r="G89" s="110">
        <v>0</v>
      </c>
      <c r="H89" s="111">
        <v>0</v>
      </c>
      <c r="I89" s="110">
        <v>45000</v>
      </c>
      <c r="J89" s="112"/>
      <c r="K89" s="35">
        <v>2050</v>
      </c>
      <c r="L89" s="72">
        <v>30550</v>
      </c>
      <c r="M89" s="33">
        <f t="shared" ref="M89" si="4">I89-L89</f>
        <v>14450</v>
      </c>
      <c r="N89" s="13" t="s">
        <v>223</v>
      </c>
    </row>
    <row r="90" spans="1:52" ht="46.5" customHeight="1" x14ac:dyDescent="0.2">
      <c r="A90" s="143"/>
      <c r="B90" s="144"/>
      <c r="C90" s="145"/>
      <c r="D90" s="165" t="s">
        <v>52</v>
      </c>
      <c r="E90" s="147"/>
      <c r="F90" s="148" t="s">
        <v>7</v>
      </c>
      <c r="G90" s="149" t="s">
        <v>7</v>
      </c>
      <c r="H90" s="149" t="s">
        <v>7</v>
      </c>
      <c r="I90" s="149">
        <f>SUM(I91)</f>
        <v>4347174</v>
      </c>
      <c r="J90" s="150" t="s">
        <v>7</v>
      </c>
      <c r="K90" s="88"/>
      <c r="L90" s="89"/>
      <c r="M90" s="90"/>
    </row>
    <row r="91" spans="1:52" s="13" customFormat="1" ht="37.5" x14ac:dyDescent="0.3">
      <c r="A91" s="104" t="s">
        <v>53</v>
      </c>
      <c r="B91" s="126">
        <v>2080</v>
      </c>
      <c r="C91" s="106" t="s">
        <v>54</v>
      </c>
      <c r="D91" s="127" t="s">
        <v>55</v>
      </c>
      <c r="E91" s="223" t="s">
        <v>10</v>
      </c>
      <c r="F91" s="109">
        <v>2021</v>
      </c>
      <c r="G91" s="110">
        <v>0</v>
      </c>
      <c r="H91" s="111">
        <v>0</v>
      </c>
      <c r="I91" s="110">
        <f>1750000-82826+200000+2480000</f>
        <v>4347174</v>
      </c>
      <c r="J91" s="112"/>
      <c r="K91" s="34">
        <v>2037</v>
      </c>
      <c r="L91" s="38">
        <f>1650000+199900+2470000</f>
        <v>4319900</v>
      </c>
      <c r="M91" s="38">
        <f t="shared" si="0"/>
        <v>27274</v>
      </c>
      <c r="N91" s="13" t="s">
        <v>239</v>
      </c>
    </row>
    <row r="92" spans="1:52" s="4" customFormat="1" ht="37.5" x14ac:dyDescent="0.2">
      <c r="A92" s="143"/>
      <c r="B92" s="144"/>
      <c r="C92" s="145"/>
      <c r="D92" s="146" t="s">
        <v>102</v>
      </c>
      <c r="E92" s="147"/>
      <c r="F92" s="148" t="s">
        <v>7</v>
      </c>
      <c r="G92" s="149" t="s">
        <v>7</v>
      </c>
      <c r="H92" s="149" t="s">
        <v>7</v>
      </c>
      <c r="I92" s="149">
        <f>SUM(I93:I138)</f>
        <v>29999464.710000001</v>
      </c>
      <c r="J92" s="150" t="s">
        <v>7</v>
      </c>
      <c r="K92" s="82"/>
      <c r="L92" s="83"/>
      <c r="M92" s="8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</row>
    <row r="93" spans="1:52" s="13" customFormat="1" ht="33" customHeight="1" x14ac:dyDescent="0.2">
      <c r="A93" s="115" t="s">
        <v>33</v>
      </c>
      <c r="B93" s="131">
        <v>6011</v>
      </c>
      <c r="C93" s="115" t="s">
        <v>34</v>
      </c>
      <c r="D93" s="131" t="s">
        <v>35</v>
      </c>
      <c r="E93" s="128" t="s">
        <v>36</v>
      </c>
      <c r="F93" s="109">
        <v>2021</v>
      </c>
      <c r="G93" s="110">
        <f>I93</f>
        <v>1484700</v>
      </c>
      <c r="H93" s="111">
        <v>0</v>
      </c>
      <c r="I93" s="110">
        <v>1484700</v>
      </c>
      <c r="J93" s="112"/>
      <c r="K93" s="34">
        <v>2031</v>
      </c>
      <c r="L93" s="72">
        <f>233043.67+3312.11+579515.04</f>
        <v>815870.82000000007</v>
      </c>
      <c r="M93" s="33">
        <f t="shared" si="0"/>
        <v>668829.17999999993</v>
      </c>
    </row>
    <row r="94" spans="1:52" s="13" customFormat="1" ht="37.5" x14ac:dyDescent="0.2">
      <c r="A94" s="120"/>
      <c r="B94" s="152"/>
      <c r="C94" s="120"/>
      <c r="D94" s="152"/>
      <c r="E94" s="128" t="s">
        <v>37</v>
      </c>
      <c r="F94" s="109">
        <v>2021</v>
      </c>
      <c r="G94" s="110">
        <f t="shared" ref="G94:G99" si="5">I94</f>
        <v>1478200</v>
      </c>
      <c r="H94" s="111">
        <v>0</v>
      </c>
      <c r="I94" s="110">
        <v>1478200</v>
      </c>
      <c r="J94" s="112"/>
      <c r="K94" s="34">
        <v>2032</v>
      </c>
      <c r="L94" s="72">
        <f>501095.62+7259.5+500405.08</f>
        <v>1008760.2</v>
      </c>
      <c r="M94" s="33">
        <f t="shared" si="0"/>
        <v>469439.80000000005</v>
      </c>
    </row>
    <row r="95" spans="1:52" s="13" customFormat="1" ht="56.25" x14ac:dyDescent="0.2">
      <c r="A95" s="224" t="s">
        <v>260</v>
      </c>
      <c r="B95" s="225">
        <v>6013</v>
      </c>
      <c r="C95" s="224" t="s">
        <v>18</v>
      </c>
      <c r="D95" s="225" t="s">
        <v>259</v>
      </c>
      <c r="E95" s="128" t="s">
        <v>267</v>
      </c>
      <c r="F95" s="109">
        <v>2021</v>
      </c>
      <c r="G95" s="110">
        <v>49336</v>
      </c>
      <c r="H95" s="111">
        <v>0</v>
      </c>
      <c r="I95" s="110">
        <v>49336</v>
      </c>
      <c r="J95" s="112"/>
      <c r="K95" s="34">
        <v>2140</v>
      </c>
      <c r="L95" s="72"/>
      <c r="M95" s="33">
        <f t="shared" si="0"/>
        <v>49336</v>
      </c>
    </row>
    <row r="96" spans="1:52" s="13" customFormat="1" ht="37.5" x14ac:dyDescent="0.3">
      <c r="A96" s="115" t="s">
        <v>11</v>
      </c>
      <c r="B96" s="131">
        <v>6030</v>
      </c>
      <c r="C96" s="132" t="s">
        <v>18</v>
      </c>
      <c r="D96" s="226" t="s">
        <v>19</v>
      </c>
      <c r="E96" s="117" t="s">
        <v>129</v>
      </c>
      <c r="F96" s="109">
        <v>2021</v>
      </c>
      <c r="G96" s="110">
        <f t="shared" si="5"/>
        <v>588027</v>
      </c>
      <c r="H96" s="111">
        <v>0</v>
      </c>
      <c r="I96" s="110">
        <v>588027</v>
      </c>
      <c r="J96" s="112"/>
      <c r="K96" s="34">
        <v>2061</v>
      </c>
      <c r="L96" s="72">
        <f>505400+7497.31</f>
        <v>512897.31</v>
      </c>
      <c r="M96" s="33">
        <f t="shared" si="0"/>
        <v>75129.69</v>
      </c>
    </row>
    <row r="97" spans="1:13" s="13" customFormat="1" ht="37.5" x14ac:dyDescent="0.3">
      <c r="A97" s="134"/>
      <c r="B97" s="135"/>
      <c r="C97" s="136"/>
      <c r="D97" s="227"/>
      <c r="E97" s="117" t="s">
        <v>130</v>
      </c>
      <c r="F97" s="109">
        <v>2021</v>
      </c>
      <c r="G97" s="110">
        <f t="shared" si="5"/>
        <v>413680</v>
      </c>
      <c r="H97" s="111">
        <v>0</v>
      </c>
      <c r="I97" s="110">
        <v>413680</v>
      </c>
      <c r="J97" s="112"/>
      <c r="K97" s="34">
        <v>2062</v>
      </c>
      <c r="L97" s="72">
        <v>329712.82</v>
      </c>
      <c r="M97" s="33">
        <f t="shared" si="0"/>
        <v>83967.18</v>
      </c>
    </row>
    <row r="98" spans="1:13" s="13" customFormat="1" ht="37.5" x14ac:dyDescent="0.3">
      <c r="A98" s="134"/>
      <c r="B98" s="135"/>
      <c r="C98" s="136"/>
      <c r="D98" s="227"/>
      <c r="E98" s="117" t="s">
        <v>131</v>
      </c>
      <c r="F98" s="109">
        <v>2021</v>
      </c>
      <c r="G98" s="110">
        <f t="shared" si="5"/>
        <v>610349</v>
      </c>
      <c r="H98" s="111">
        <v>0</v>
      </c>
      <c r="I98" s="110">
        <v>610349</v>
      </c>
      <c r="J98" s="112"/>
      <c r="K98" s="34">
        <v>2063</v>
      </c>
      <c r="L98" s="72">
        <f>560848.84+8308.45</f>
        <v>569157.28999999992</v>
      </c>
      <c r="M98" s="33">
        <f t="shared" si="0"/>
        <v>41191.710000000079</v>
      </c>
    </row>
    <row r="99" spans="1:13" s="13" customFormat="1" ht="37.5" x14ac:dyDescent="0.3">
      <c r="A99" s="134"/>
      <c r="B99" s="135"/>
      <c r="C99" s="136"/>
      <c r="D99" s="227"/>
      <c r="E99" s="117" t="s">
        <v>132</v>
      </c>
      <c r="F99" s="109">
        <v>2021</v>
      </c>
      <c r="G99" s="110">
        <f t="shared" si="5"/>
        <v>725932</v>
      </c>
      <c r="H99" s="111">
        <v>0</v>
      </c>
      <c r="I99" s="110">
        <v>725932</v>
      </c>
      <c r="J99" s="112"/>
      <c r="K99" s="34">
        <v>2064</v>
      </c>
      <c r="L99" s="72">
        <f>529700+7832.07</f>
        <v>537532.06999999995</v>
      </c>
      <c r="M99" s="33">
        <f t="shared" ref="M99:M185" si="6">I99-L99</f>
        <v>188399.93000000005</v>
      </c>
    </row>
    <row r="100" spans="1:13" s="13" customFormat="1" ht="37.5" x14ac:dyDescent="0.3">
      <c r="A100" s="134"/>
      <c r="B100" s="135"/>
      <c r="C100" s="136"/>
      <c r="D100" s="227"/>
      <c r="E100" s="117" t="s">
        <v>133</v>
      </c>
      <c r="F100" s="109">
        <v>2021</v>
      </c>
      <c r="G100" s="110">
        <f t="shared" ref="G100:G102" si="7">I100</f>
        <v>40775</v>
      </c>
      <c r="H100" s="111">
        <v>0</v>
      </c>
      <c r="I100" s="110">
        <v>40775</v>
      </c>
      <c r="J100" s="112"/>
      <c r="K100" s="34">
        <v>2065</v>
      </c>
      <c r="L100" s="72">
        <v>40775</v>
      </c>
      <c r="M100" s="33">
        <f t="shared" si="6"/>
        <v>0</v>
      </c>
    </row>
    <row r="101" spans="1:13" s="13" customFormat="1" ht="37.5" x14ac:dyDescent="0.3">
      <c r="A101" s="134"/>
      <c r="B101" s="135"/>
      <c r="C101" s="136"/>
      <c r="D101" s="227"/>
      <c r="E101" s="117" t="s">
        <v>134</v>
      </c>
      <c r="F101" s="109">
        <v>2021</v>
      </c>
      <c r="G101" s="110">
        <f t="shared" si="7"/>
        <v>36293</v>
      </c>
      <c r="H101" s="111">
        <v>0</v>
      </c>
      <c r="I101" s="110">
        <v>36293</v>
      </c>
      <c r="J101" s="112"/>
      <c r="K101" s="34">
        <v>2066</v>
      </c>
      <c r="L101" s="72">
        <v>36293</v>
      </c>
      <c r="M101" s="33">
        <f t="shared" si="6"/>
        <v>0</v>
      </c>
    </row>
    <row r="102" spans="1:13" s="13" customFormat="1" ht="37.5" x14ac:dyDescent="0.3">
      <c r="A102" s="134"/>
      <c r="B102" s="135"/>
      <c r="C102" s="136"/>
      <c r="D102" s="227"/>
      <c r="E102" s="117" t="s">
        <v>135</v>
      </c>
      <c r="F102" s="109">
        <v>2021</v>
      </c>
      <c r="G102" s="110">
        <f t="shared" si="7"/>
        <v>29662</v>
      </c>
      <c r="H102" s="111">
        <v>0</v>
      </c>
      <c r="I102" s="110">
        <v>29662</v>
      </c>
      <c r="J102" s="112"/>
      <c r="K102" s="34">
        <v>2067</v>
      </c>
      <c r="L102" s="72">
        <v>29662</v>
      </c>
      <c r="M102" s="33">
        <f t="shared" si="6"/>
        <v>0</v>
      </c>
    </row>
    <row r="103" spans="1:13" s="13" customFormat="1" ht="37.5" x14ac:dyDescent="0.3">
      <c r="A103" s="134"/>
      <c r="B103" s="135"/>
      <c r="C103" s="136"/>
      <c r="D103" s="227"/>
      <c r="E103" s="117" t="s">
        <v>136</v>
      </c>
      <c r="F103" s="109">
        <v>2021</v>
      </c>
      <c r="G103" s="110">
        <f>I103</f>
        <v>34897</v>
      </c>
      <c r="H103" s="111">
        <v>0</v>
      </c>
      <c r="I103" s="110">
        <v>34897</v>
      </c>
      <c r="J103" s="112"/>
      <c r="K103" s="34">
        <v>2068</v>
      </c>
      <c r="L103" s="72">
        <v>34897</v>
      </c>
      <c r="M103" s="33">
        <f t="shared" si="6"/>
        <v>0</v>
      </c>
    </row>
    <row r="104" spans="1:13" s="13" customFormat="1" ht="37.5" x14ac:dyDescent="0.3">
      <c r="A104" s="134"/>
      <c r="B104" s="135"/>
      <c r="C104" s="136"/>
      <c r="D104" s="227"/>
      <c r="E104" s="117" t="s">
        <v>143</v>
      </c>
      <c r="F104" s="109">
        <v>2021</v>
      </c>
      <c r="G104" s="110">
        <v>0</v>
      </c>
      <c r="H104" s="111">
        <v>0</v>
      </c>
      <c r="I104" s="110">
        <v>381000</v>
      </c>
      <c r="J104" s="112"/>
      <c r="K104" s="34">
        <v>2070</v>
      </c>
      <c r="L104" s="72">
        <v>380400</v>
      </c>
      <c r="M104" s="33">
        <f t="shared" si="6"/>
        <v>600</v>
      </c>
    </row>
    <row r="105" spans="1:13" s="13" customFormat="1" ht="37.5" x14ac:dyDescent="0.3">
      <c r="A105" s="134"/>
      <c r="B105" s="135"/>
      <c r="C105" s="136"/>
      <c r="D105" s="227"/>
      <c r="E105" s="117" t="s">
        <v>108</v>
      </c>
      <c r="F105" s="109">
        <v>2021</v>
      </c>
      <c r="G105" s="110">
        <f t="shared" ref="G105:G107" si="8">I105</f>
        <v>38835</v>
      </c>
      <c r="H105" s="111">
        <v>0</v>
      </c>
      <c r="I105" s="110">
        <v>38835</v>
      </c>
      <c r="J105" s="112"/>
      <c r="K105" s="34">
        <v>2071</v>
      </c>
      <c r="L105" s="72">
        <v>38835</v>
      </c>
      <c r="M105" s="33">
        <f t="shared" si="6"/>
        <v>0</v>
      </c>
    </row>
    <row r="106" spans="1:13" s="13" customFormat="1" ht="37.5" x14ac:dyDescent="0.3">
      <c r="A106" s="134"/>
      <c r="B106" s="135"/>
      <c r="C106" s="136"/>
      <c r="D106" s="227"/>
      <c r="E106" s="117" t="s">
        <v>118</v>
      </c>
      <c r="F106" s="109">
        <v>2021</v>
      </c>
      <c r="G106" s="110">
        <f t="shared" si="8"/>
        <v>49005</v>
      </c>
      <c r="H106" s="111">
        <v>0</v>
      </c>
      <c r="I106" s="110">
        <v>49005</v>
      </c>
      <c r="J106" s="112"/>
      <c r="K106" s="34">
        <v>2072</v>
      </c>
      <c r="L106" s="72">
        <v>49005</v>
      </c>
      <c r="M106" s="33">
        <f t="shared" si="6"/>
        <v>0</v>
      </c>
    </row>
    <row r="107" spans="1:13" s="13" customFormat="1" ht="37.5" x14ac:dyDescent="0.3">
      <c r="A107" s="134"/>
      <c r="B107" s="135"/>
      <c r="C107" s="136"/>
      <c r="D107" s="227"/>
      <c r="E107" s="117" t="s">
        <v>109</v>
      </c>
      <c r="F107" s="109">
        <v>2021</v>
      </c>
      <c r="G107" s="110">
        <f t="shared" si="8"/>
        <v>40977</v>
      </c>
      <c r="H107" s="111">
        <v>0</v>
      </c>
      <c r="I107" s="110">
        <v>40977</v>
      </c>
      <c r="J107" s="112"/>
      <c r="K107" s="34">
        <v>2073</v>
      </c>
      <c r="L107" s="72">
        <v>40977</v>
      </c>
      <c r="M107" s="33">
        <f t="shared" si="6"/>
        <v>0</v>
      </c>
    </row>
    <row r="108" spans="1:13" s="13" customFormat="1" ht="37.5" x14ac:dyDescent="0.3">
      <c r="A108" s="134"/>
      <c r="B108" s="135"/>
      <c r="C108" s="136"/>
      <c r="D108" s="227"/>
      <c r="E108" s="117" t="s">
        <v>110</v>
      </c>
      <c r="F108" s="109">
        <v>2021</v>
      </c>
      <c r="G108" s="110">
        <f>I108</f>
        <v>40356</v>
      </c>
      <c r="H108" s="111">
        <v>0</v>
      </c>
      <c r="I108" s="110">
        <v>40356</v>
      </c>
      <c r="J108" s="112"/>
      <c r="K108" s="34">
        <v>2074</v>
      </c>
      <c r="L108" s="72">
        <v>40356</v>
      </c>
      <c r="M108" s="33">
        <f t="shared" si="6"/>
        <v>0</v>
      </c>
    </row>
    <row r="109" spans="1:13" s="55" customFormat="1" ht="18.75" customHeight="1" x14ac:dyDescent="0.3">
      <c r="A109" s="134"/>
      <c r="B109" s="135"/>
      <c r="C109" s="136"/>
      <c r="D109" s="227"/>
      <c r="E109" s="117" t="s">
        <v>156</v>
      </c>
      <c r="F109" s="109">
        <v>2021</v>
      </c>
      <c r="G109" s="110">
        <f>I109</f>
        <v>499860</v>
      </c>
      <c r="H109" s="111">
        <v>0</v>
      </c>
      <c r="I109" s="110">
        <v>499860</v>
      </c>
      <c r="J109" s="112"/>
      <c r="K109" s="52">
        <v>2100</v>
      </c>
      <c r="L109" s="53">
        <f>415000+6072.42</f>
        <v>421072.42</v>
      </c>
      <c r="M109" s="54">
        <f t="shared" si="6"/>
        <v>78787.580000000016</v>
      </c>
    </row>
    <row r="110" spans="1:13" s="55" customFormat="1" ht="37.5" x14ac:dyDescent="0.3">
      <c r="A110" s="134"/>
      <c r="B110" s="135"/>
      <c r="C110" s="136"/>
      <c r="D110" s="227"/>
      <c r="E110" s="117" t="s">
        <v>157</v>
      </c>
      <c r="F110" s="109">
        <v>2021</v>
      </c>
      <c r="G110" s="110">
        <f>I110</f>
        <v>3025397</v>
      </c>
      <c r="H110" s="111">
        <v>0</v>
      </c>
      <c r="I110" s="110">
        <v>3025397</v>
      </c>
      <c r="J110" s="112"/>
      <c r="K110" s="52">
        <v>2101</v>
      </c>
      <c r="L110" s="53">
        <f>2154795.24+8400</f>
        <v>2163195.2400000002</v>
      </c>
      <c r="M110" s="54">
        <f t="shared" si="6"/>
        <v>862201.75999999978</v>
      </c>
    </row>
    <row r="111" spans="1:13" s="55" customFormat="1" ht="37.5" x14ac:dyDescent="0.3">
      <c r="A111" s="134"/>
      <c r="B111" s="135"/>
      <c r="C111" s="136"/>
      <c r="D111" s="227"/>
      <c r="E111" s="117" t="s">
        <v>160</v>
      </c>
      <c r="F111" s="109">
        <v>2021</v>
      </c>
      <c r="G111" s="110">
        <f>115243</f>
        <v>115243</v>
      </c>
      <c r="H111" s="111">
        <v>0</v>
      </c>
      <c r="I111" s="110">
        <v>115243</v>
      </c>
      <c r="J111" s="112"/>
      <c r="K111" s="52">
        <v>2114</v>
      </c>
      <c r="L111" s="53">
        <f>111916.01+1644.68</f>
        <v>113560.68999999999</v>
      </c>
      <c r="M111" s="54">
        <f>I111-L111</f>
        <v>1682.3100000000122</v>
      </c>
    </row>
    <row r="112" spans="1:13" s="13" customFormat="1" ht="18.75" x14ac:dyDescent="0.3">
      <c r="A112" s="134"/>
      <c r="B112" s="135"/>
      <c r="C112" s="136"/>
      <c r="D112" s="227"/>
      <c r="E112" s="117" t="s">
        <v>258</v>
      </c>
      <c r="F112" s="109">
        <v>2021</v>
      </c>
      <c r="G112" s="110">
        <v>1272809</v>
      </c>
      <c r="H112" s="111">
        <v>0</v>
      </c>
      <c r="I112" s="110">
        <v>1272809</v>
      </c>
      <c r="J112" s="112"/>
      <c r="K112" s="34">
        <v>2143</v>
      </c>
      <c r="L112" s="38"/>
      <c r="M112" s="33">
        <f t="shared" si="6"/>
        <v>1272809</v>
      </c>
    </row>
    <row r="113" spans="1:13" s="13" customFormat="1" ht="37.5" x14ac:dyDescent="0.3">
      <c r="A113" s="120"/>
      <c r="B113" s="152"/>
      <c r="C113" s="153"/>
      <c r="D113" s="228"/>
      <c r="E113" s="117" t="s">
        <v>269</v>
      </c>
      <c r="F113" s="109">
        <v>2021</v>
      </c>
      <c r="G113" s="110">
        <v>767239</v>
      </c>
      <c r="H113" s="111">
        <v>0</v>
      </c>
      <c r="I113" s="110">
        <v>767239</v>
      </c>
      <c r="J113" s="112"/>
      <c r="K113" s="34">
        <v>2152</v>
      </c>
      <c r="L113" s="38"/>
      <c r="M113" s="33">
        <f t="shared" si="6"/>
        <v>767239</v>
      </c>
    </row>
    <row r="114" spans="1:13" s="13" customFormat="1" ht="37.5" x14ac:dyDescent="0.3">
      <c r="A114" s="115" t="s">
        <v>63</v>
      </c>
      <c r="B114" s="131">
        <v>6040</v>
      </c>
      <c r="C114" s="132" t="s">
        <v>65</v>
      </c>
      <c r="D114" s="131" t="s">
        <v>64</v>
      </c>
      <c r="E114" s="117" t="s">
        <v>111</v>
      </c>
      <c r="F114" s="109">
        <v>2021</v>
      </c>
      <c r="G114" s="110">
        <f>I114</f>
        <v>49965</v>
      </c>
      <c r="H114" s="111">
        <v>0</v>
      </c>
      <c r="I114" s="110">
        <v>49965</v>
      </c>
      <c r="J114" s="112"/>
      <c r="K114" s="34">
        <v>2075</v>
      </c>
      <c r="L114" s="72">
        <v>49965</v>
      </c>
      <c r="M114" s="33">
        <f t="shared" si="6"/>
        <v>0</v>
      </c>
    </row>
    <row r="115" spans="1:13" s="13" customFormat="1" ht="37.5" x14ac:dyDescent="0.2">
      <c r="A115" s="120"/>
      <c r="B115" s="152"/>
      <c r="C115" s="153"/>
      <c r="D115" s="152"/>
      <c r="E115" s="108" t="s">
        <v>107</v>
      </c>
      <c r="F115" s="109">
        <v>2021</v>
      </c>
      <c r="G115" s="110">
        <f>I115</f>
        <v>3744531</v>
      </c>
      <c r="H115" s="111">
        <v>0</v>
      </c>
      <c r="I115" s="110">
        <v>3744531</v>
      </c>
      <c r="J115" s="112"/>
      <c r="K115" s="34">
        <v>2076</v>
      </c>
      <c r="L115" s="72">
        <v>2721913.3</v>
      </c>
      <c r="M115" s="33">
        <f t="shared" si="6"/>
        <v>1022617.7000000002</v>
      </c>
    </row>
    <row r="116" spans="1:13" s="13" customFormat="1" ht="40.5" customHeight="1" x14ac:dyDescent="0.3">
      <c r="A116" s="229" t="s">
        <v>45</v>
      </c>
      <c r="B116" s="156">
        <v>7461</v>
      </c>
      <c r="C116" s="115" t="s">
        <v>20</v>
      </c>
      <c r="D116" s="226" t="s">
        <v>46</v>
      </c>
      <c r="E116" s="142" t="s">
        <v>117</v>
      </c>
      <c r="F116" s="109">
        <v>2021</v>
      </c>
      <c r="G116" s="110">
        <f t="shared" ref="G116:G117" si="9">I116</f>
        <v>483498</v>
      </c>
      <c r="H116" s="111">
        <v>0</v>
      </c>
      <c r="I116" s="110">
        <v>483498</v>
      </c>
      <c r="J116" s="112"/>
      <c r="K116" s="34">
        <v>2077</v>
      </c>
      <c r="L116" s="72"/>
      <c r="M116" s="33">
        <f t="shared" si="6"/>
        <v>483498</v>
      </c>
    </row>
    <row r="117" spans="1:13" s="13" customFormat="1" ht="43.5" customHeight="1" x14ac:dyDescent="0.3">
      <c r="A117" s="230"/>
      <c r="B117" s="231"/>
      <c r="C117" s="134"/>
      <c r="D117" s="227"/>
      <c r="E117" s="142" t="s">
        <v>137</v>
      </c>
      <c r="F117" s="109">
        <v>2021</v>
      </c>
      <c r="G117" s="110">
        <f t="shared" si="9"/>
        <v>1499979</v>
      </c>
      <c r="H117" s="111">
        <v>0</v>
      </c>
      <c r="I117" s="110">
        <v>1499979</v>
      </c>
      <c r="J117" s="112"/>
      <c r="K117" s="34">
        <v>2078</v>
      </c>
      <c r="L117" s="72"/>
      <c r="M117" s="33">
        <f t="shared" si="6"/>
        <v>1499979</v>
      </c>
    </row>
    <row r="118" spans="1:13" s="13" customFormat="1" ht="37.5" x14ac:dyDescent="0.3">
      <c r="A118" s="230"/>
      <c r="B118" s="231"/>
      <c r="C118" s="134"/>
      <c r="D118" s="227"/>
      <c r="E118" s="142" t="s">
        <v>138</v>
      </c>
      <c r="F118" s="109">
        <v>2021</v>
      </c>
      <c r="G118" s="110">
        <f>I118</f>
        <v>29313</v>
      </c>
      <c r="H118" s="111">
        <v>0</v>
      </c>
      <c r="I118" s="110">
        <v>29313</v>
      </c>
      <c r="J118" s="112"/>
      <c r="K118" s="34">
        <v>2079</v>
      </c>
      <c r="L118" s="72">
        <v>29313</v>
      </c>
      <c r="M118" s="33">
        <f t="shared" si="6"/>
        <v>0</v>
      </c>
    </row>
    <row r="119" spans="1:13" s="13" customFormat="1" ht="37.5" x14ac:dyDescent="0.3">
      <c r="A119" s="230"/>
      <c r="B119" s="231"/>
      <c r="C119" s="134"/>
      <c r="D119" s="227"/>
      <c r="E119" s="142" t="s">
        <v>254</v>
      </c>
      <c r="F119" s="109">
        <v>2021</v>
      </c>
      <c r="G119" s="110">
        <f>I119</f>
        <v>1492497</v>
      </c>
      <c r="H119" s="111">
        <v>0</v>
      </c>
      <c r="I119" s="110">
        <f>1380691+111806</f>
        <v>1492497</v>
      </c>
      <c r="J119" s="112"/>
      <c r="K119" s="34">
        <v>2080</v>
      </c>
      <c r="L119" s="72"/>
      <c r="M119" s="33">
        <f t="shared" si="6"/>
        <v>1492497</v>
      </c>
    </row>
    <row r="120" spans="1:13" s="13" customFormat="1" ht="37.5" x14ac:dyDescent="0.3">
      <c r="A120" s="230"/>
      <c r="B120" s="231"/>
      <c r="C120" s="134"/>
      <c r="D120" s="227"/>
      <c r="E120" s="142" t="s">
        <v>113</v>
      </c>
      <c r="F120" s="109">
        <v>2021</v>
      </c>
      <c r="G120" s="110">
        <f t="shared" ref="G120:G121" si="10">I120</f>
        <v>48777</v>
      </c>
      <c r="H120" s="111">
        <v>0</v>
      </c>
      <c r="I120" s="110">
        <v>48777</v>
      </c>
      <c r="J120" s="112"/>
      <c r="K120" s="34">
        <v>2081</v>
      </c>
      <c r="L120" s="72">
        <f>I120</f>
        <v>48777</v>
      </c>
      <c r="M120" s="33">
        <f t="shared" si="6"/>
        <v>0</v>
      </c>
    </row>
    <row r="121" spans="1:13" s="13" customFormat="1" ht="37.5" x14ac:dyDescent="0.3">
      <c r="A121" s="230"/>
      <c r="B121" s="231"/>
      <c r="C121" s="134"/>
      <c r="D121" s="227"/>
      <c r="E121" s="142" t="s">
        <v>112</v>
      </c>
      <c r="F121" s="109">
        <v>2021</v>
      </c>
      <c r="G121" s="110">
        <f t="shared" si="10"/>
        <v>47835</v>
      </c>
      <c r="H121" s="111">
        <v>0</v>
      </c>
      <c r="I121" s="110">
        <v>47835</v>
      </c>
      <c r="J121" s="112"/>
      <c r="K121" s="34">
        <v>2082</v>
      </c>
      <c r="L121" s="72">
        <f>I121</f>
        <v>47835</v>
      </c>
      <c r="M121" s="33">
        <f t="shared" si="6"/>
        <v>0</v>
      </c>
    </row>
    <row r="122" spans="1:13" s="13" customFormat="1" ht="37.5" x14ac:dyDescent="0.3">
      <c r="A122" s="230"/>
      <c r="B122" s="231"/>
      <c r="C122" s="134"/>
      <c r="D122" s="227"/>
      <c r="E122" s="142" t="s">
        <v>116</v>
      </c>
      <c r="F122" s="109">
        <v>2021</v>
      </c>
      <c r="G122" s="110">
        <f t="shared" ref="G122:G131" si="11">I122</f>
        <v>25000</v>
      </c>
      <c r="H122" s="111">
        <v>0</v>
      </c>
      <c r="I122" s="110">
        <v>25000</v>
      </c>
      <c r="J122" s="112"/>
      <c r="K122" s="34">
        <v>2083</v>
      </c>
      <c r="L122" s="72">
        <f>I122</f>
        <v>25000</v>
      </c>
      <c r="M122" s="33">
        <f t="shared" si="6"/>
        <v>0</v>
      </c>
    </row>
    <row r="123" spans="1:13" s="13" customFormat="1" ht="56.25" x14ac:dyDescent="0.3">
      <c r="A123" s="230"/>
      <c r="B123" s="231"/>
      <c r="C123" s="134"/>
      <c r="D123" s="227"/>
      <c r="E123" s="142" t="s">
        <v>139</v>
      </c>
      <c r="F123" s="109">
        <v>2021</v>
      </c>
      <c r="G123" s="110">
        <f t="shared" si="11"/>
        <v>49899</v>
      </c>
      <c r="H123" s="111">
        <v>0</v>
      </c>
      <c r="I123" s="110">
        <v>49899</v>
      </c>
      <c r="J123" s="112"/>
      <c r="K123" s="34">
        <v>2084</v>
      </c>
      <c r="L123" s="72">
        <f>I123</f>
        <v>49899</v>
      </c>
      <c r="M123" s="33">
        <f t="shared" si="6"/>
        <v>0</v>
      </c>
    </row>
    <row r="124" spans="1:13" s="13" customFormat="1" ht="56.25" x14ac:dyDescent="0.3">
      <c r="A124" s="230"/>
      <c r="B124" s="231"/>
      <c r="C124" s="134"/>
      <c r="D124" s="227"/>
      <c r="E124" s="142" t="s">
        <v>140</v>
      </c>
      <c r="F124" s="109">
        <v>2021</v>
      </c>
      <c r="G124" s="110">
        <f t="shared" si="11"/>
        <v>35854</v>
      </c>
      <c r="H124" s="111">
        <v>0</v>
      </c>
      <c r="I124" s="110">
        <v>35854</v>
      </c>
      <c r="J124" s="112"/>
      <c r="K124" s="34">
        <v>2085</v>
      </c>
      <c r="L124" s="72">
        <f>I124</f>
        <v>35854</v>
      </c>
      <c r="M124" s="33">
        <f t="shared" si="6"/>
        <v>0</v>
      </c>
    </row>
    <row r="125" spans="1:13" s="13" customFormat="1" ht="37.5" x14ac:dyDescent="0.3">
      <c r="A125" s="230"/>
      <c r="B125" s="231"/>
      <c r="C125" s="134"/>
      <c r="D125" s="227"/>
      <c r="E125" s="142" t="s">
        <v>141</v>
      </c>
      <c r="F125" s="109">
        <v>2021</v>
      </c>
      <c r="G125" s="110">
        <f t="shared" si="11"/>
        <v>197823</v>
      </c>
      <c r="H125" s="111">
        <v>0</v>
      </c>
      <c r="I125" s="110">
        <v>197823</v>
      </c>
      <c r="J125" s="112"/>
      <c r="K125" s="34">
        <v>2086</v>
      </c>
      <c r="L125" s="72">
        <v>196302</v>
      </c>
      <c r="M125" s="33">
        <f t="shared" si="6"/>
        <v>1521</v>
      </c>
    </row>
    <row r="126" spans="1:13" s="13" customFormat="1" ht="37.5" x14ac:dyDescent="0.3">
      <c r="A126" s="230"/>
      <c r="B126" s="231"/>
      <c r="C126" s="134"/>
      <c r="D126" s="227"/>
      <c r="E126" s="142" t="s">
        <v>142</v>
      </c>
      <c r="F126" s="109">
        <v>2021</v>
      </c>
      <c r="G126" s="110">
        <f t="shared" si="11"/>
        <v>49122</v>
      </c>
      <c r="H126" s="111">
        <v>0</v>
      </c>
      <c r="I126" s="110">
        <v>49122</v>
      </c>
      <c r="J126" s="112"/>
      <c r="K126" s="34">
        <v>2087</v>
      </c>
      <c r="L126" s="72">
        <f>I126</f>
        <v>49122</v>
      </c>
      <c r="M126" s="33">
        <f t="shared" si="6"/>
        <v>0</v>
      </c>
    </row>
    <row r="127" spans="1:13" s="13" customFormat="1" ht="37.5" x14ac:dyDescent="0.3">
      <c r="A127" s="230"/>
      <c r="B127" s="231"/>
      <c r="C127" s="134"/>
      <c r="D127" s="227"/>
      <c r="E127" s="142" t="s">
        <v>115</v>
      </c>
      <c r="F127" s="109">
        <v>2021</v>
      </c>
      <c r="G127" s="110">
        <f t="shared" si="11"/>
        <v>49730</v>
      </c>
      <c r="H127" s="111">
        <v>0</v>
      </c>
      <c r="I127" s="110">
        <v>49730</v>
      </c>
      <c r="J127" s="112"/>
      <c r="K127" s="34">
        <v>2088</v>
      </c>
      <c r="L127" s="72">
        <f>I127</f>
        <v>49730</v>
      </c>
      <c r="M127" s="33">
        <f t="shared" si="6"/>
        <v>0</v>
      </c>
    </row>
    <row r="128" spans="1:13" s="13" customFormat="1" ht="37.5" x14ac:dyDescent="0.3">
      <c r="A128" s="230"/>
      <c r="B128" s="231"/>
      <c r="C128" s="134"/>
      <c r="D128" s="227"/>
      <c r="E128" s="117" t="s">
        <v>114</v>
      </c>
      <c r="F128" s="109">
        <v>2021</v>
      </c>
      <c r="G128" s="110">
        <f t="shared" si="11"/>
        <v>152924</v>
      </c>
      <c r="H128" s="111">
        <v>0</v>
      </c>
      <c r="I128" s="110">
        <v>152924</v>
      </c>
      <c r="J128" s="112"/>
      <c r="K128" s="34">
        <v>2089</v>
      </c>
      <c r="L128" s="38"/>
      <c r="M128" s="33">
        <f t="shared" si="6"/>
        <v>152924</v>
      </c>
    </row>
    <row r="129" spans="1:52" s="13" customFormat="1" ht="37.5" x14ac:dyDescent="0.3">
      <c r="A129" s="230"/>
      <c r="B129" s="231"/>
      <c r="C129" s="134"/>
      <c r="D129" s="227"/>
      <c r="E129" s="117" t="s">
        <v>119</v>
      </c>
      <c r="F129" s="109">
        <v>2021</v>
      </c>
      <c r="G129" s="110">
        <f t="shared" si="11"/>
        <v>49359</v>
      </c>
      <c r="H129" s="111">
        <v>0</v>
      </c>
      <c r="I129" s="110">
        <v>49359</v>
      </c>
      <c r="J129" s="112"/>
      <c r="K129" s="34">
        <v>2090</v>
      </c>
      <c r="L129" s="72">
        <f>I129</f>
        <v>49359</v>
      </c>
      <c r="M129" s="33">
        <f t="shared" si="6"/>
        <v>0</v>
      </c>
    </row>
    <row r="130" spans="1:52" s="13" customFormat="1" ht="37.5" x14ac:dyDescent="0.3">
      <c r="A130" s="230"/>
      <c r="B130" s="231"/>
      <c r="C130" s="134"/>
      <c r="D130" s="227"/>
      <c r="E130" s="142" t="s">
        <v>144</v>
      </c>
      <c r="F130" s="109">
        <v>2021</v>
      </c>
      <c r="G130" s="110">
        <f t="shared" si="11"/>
        <v>25375</v>
      </c>
      <c r="H130" s="111">
        <v>0</v>
      </c>
      <c r="I130" s="110">
        <v>25375</v>
      </c>
      <c r="J130" s="112"/>
      <c r="K130" s="34">
        <v>2091</v>
      </c>
      <c r="L130" s="72">
        <f>I130</f>
        <v>25375</v>
      </c>
      <c r="M130" s="33">
        <f t="shared" si="6"/>
        <v>0</v>
      </c>
    </row>
    <row r="131" spans="1:52" s="13" customFormat="1" ht="75" x14ac:dyDescent="0.3">
      <c r="A131" s="230"/>
      <c r="B131" s="231"/>
      <c r="C131" s="134"/>
      <c r="D131" s="227"/>
      <c r="E131" s="117" t="s">
        <v>120</v>
      </c>
      <c r="F131" s="109">
        <v>2021</v>
      </c>
      <c r="G131" s="110">
        <f t="shared" si="11"/>
        <v>165400</v>
      </c>
      <c r="H131" s="111">
        <v>0</v>
      </c>
      <c r="I131" s="110">
        <v>165400</v>
      </c>
      <c r="J131" s="112"/>
      <c r="K131" s="34">
        <v>2092</v>
      </c>
      <c r="L131" s="72">
        <v>163473</v>
      </c>
      <c r="M131" s="33">
        <f t="shared" si="6"/>
        <v>1927</v>
      </c>
    </row>
    <row r="132" spans="1:52" s="55" customFormat="1" ht="37.5" x14ac:dyDescent="0.3">
      <c r="A132" s="230"/>
      <c r="B132" s="231"/>
      <c r="C132" s="134"/>
      <c r="D132" s="227"/>
      <c r="E132" s="117" t="s">
        <v>161</v>
      </c>
      <c r="F132" s="109">
        <v>2021</v>
      </c>
      <c r="G132" s="110">
        <f>I132</f>
        <v>455618.78</v>
      </c>
      <c r="H132" s="111">
        <v>0</v>
      </c>
      <c r="I132" s="110">
        <v>455618.78</v>
      </c>
      <c r="J132" s="112"/>
      <c r="K132" s="66">
        <v>2102</v>
      </c>
      <c r="L132" s="67"/>
      <c r="M132" s="68">
        <f t="shared" si="6"/>
        <v>455618.78</v>
      </c>
    </row>
    <row r="133" spans="1:52" s="55" customFormat="1" ht="37.5" x14ac:dyDescent="0.3">
      <c r="A133" s="230"/>
      <c r="B133" s="231"/>
      <c r="C133" s="134"/>
      <c r="D133" s="227"/>
      <c r="E133" s="117" t="s">
        <v>162</v>
      </c>
      <c r="F133" s="109">
        <v>2021</v>
      </c>
      <c r="G133" s="110">
        <f>I133</f>
        <v>6575.93</v>
      </c>
      <c r="H133" s="111">
        <v>0</v>
      </c>
      <c r="I133" s="110">
        <v>6575.93</v>
      </c>
      <c r="J133" s="112"/>
      <c r="K133" s="66">
        <v>2103</v>
      </c>
      <c r="L133" s="67"/>
      <c r="M133" s="68">
        <f t="shared" si="6"/>
        <v>6575.93</v>
      </c>
    </row>
    <row r="134" spans="1:52" s="55" customFormat="1" ht="37.5" x14ac:dyDescent="0.3">
      <c r="A134" s="230"/>
      <c r="B134" s="231"/>
      <c r="C134" s="134"/>
      <c r="D134" s="227"/>
      <c r="E134" s="117" t="s">
        <v>158</v>
      </c>
      <c r="F134" s="109">
        <v>2021</v>
      </c>
      <c r="G134" s="110">
        <f>I134</f>
        <v>4649124</v>
      </c>
      <c r="H134" s="111">
        <v>0</v>
      </c>
      <c r="I134" s="110">
        <v>4649124</v>
      </c>
      <c r="J134" s="112"/>
      <c r="K134" s="66">
        <v>2104</v>
      </c>
      <c r="L134" s="67">
        <v>13020</v>
      </c>
      <c r="M134" s="68">
        <f t="shared" si="6"/>
        <v>4636104</v>
      </c>
    </row>
    <row r="135" spans="1:52" s="13" customFormat="1" ht="37.5" x14ac:dyDescent="0.3">
      <c r="A135" s="230"/>
      <c r="B135" s="231"/>
      <c r="C135" s="134"/>
      <c r="D135" s="227"/>
      <c r="E135" s="117" t="s">
        <v>155</v>
      </c>
      <c r="F135" s="109">
        <v>2021</v>
      </c>
      <c r="G135" s="110">
        <f>I135</f>
        <v>2086945</v>
      </c>
      <c r="H135" s="111">
        <v>0</v>
      </c>
      <c r="I135" s="110">
        <v>2086945</v>
      </c>
      <c r="J135" s="112"/>
      <c r="K135" s="34">
        <v>2105</v>
      </c>
      <c r="L135" s="38"/>
      <c r="M135" s="33">
        <f t="shared" si="6"/>
        <v>2086945</v>
      </c>
    </row>
    <row r="136" spans="1:52" s="13" customFormat="1" ht="37.5" x14ac:dyDescent="0.3">
      <c r="A136" s="230"/>
      <c r="B136" s="231"/>
      <c r="C136" s="134"/>
      <c r="D136" s="227"/>
      <c r="E136" s="117" t="s">
        <v>257</v>
      </c>
      <c r="F136" s="109">
        <v>2021</v>
      </c>
      <c r="G136" s="110">
        <v>2639078</v>
      </c>
      <c r="H136" s="111">
        <v>0</v>
      </c>
      <c r="I136" s="110">
        <f>G136</f>
        <v>2639078</v>
      </c>
      <c r="J136" s="112"/>
      <c r="K136" s="34">
        <v>2141</v>
      </c>
      <c r="L136" s="38"/>
      <c r="M136" s="33">
        <f t="shared" ref="M136" si="12">I136-L136</f>
        <v>2639078</v>
      </c>
    </row>
    <row r="137" spans="1:52" s="13" customFormat="1" ht="37.5" x14ac:dyDescent="0.3">
      <c r="A137" s="138" t="s">
        <v>126</v>
      </c>
      <c r="B137" s="139">
        <v>7330</v>
      </c>
      <c r="C137" s="140" t="s">
        <v>5</v>
      </c>
      <c r="D137" s="204" t="s">
        <v>125</v>
      </c>
      <c r="E137" s="117" t="s">
        <v>173</v>
      </c>
      <c r="F137" s="109">
        <v>2021</v>
      </c>
      <c r="G137" s="110">
        <f>I137</f>
        <v>49500</v>
      </c>
      <c r="H137" s="111">
        <v>0</v>
      </c>
      <c r="I137" s="110">
        <v>49500</v>
      </c>
      <c r="J137" s="112"/>
      <c r="K137" s="34">
        <v>2093</v>
      </c>
      <c r="L137" s="38"/>
      <c r="M137" s="33">
        <f t="shared" si="6"/>
        <v>49500</v>
      </c>
    </row>
    <row r="138" spans="1:52" s="13" customFormat="1" ht="56.25" x14ac:dyDescent="0.3">
      <c r="A138" s="138"/>
      <c r="B138" s="139"/>
      <c r="C138" s="140"/>
      <c r="D138" s="208"/>
      <c r="E138" s="117" t="s">
        <v>268</v>
      </c>
      <c r="F138" s="109">
        <v>2021</v>
      </c>
      <c r="G138" s="110">
        <v>193170</v>
      </c>
      <c r="H138" s="111">
        <v>0</v>
      </c>
      <c r="I138" s="110">
        <v>193170</v>
      </c>
      <c r="J138" s="112"/>
      <c r="K138" s="34">
        <v>2144</v>
      </c>
      <c r="L138" s="38"/>
      <c r="M138" s="33">
        <f t="shared" si="6"/>
        <v>193170</v>
      </c>
    </row>
    <row r="139" spans="1:52" s="4" customFormat="1" ht="37.5" x14ac:dyDescent="0.2">
      <c r="A139" s="232"/>
      <c r="B139" s="233"/>
      <c r="C139" s="234"/>
      <c r="D139" s="146" t="s">
        <v>81</v>
      </c>
      <c r="E139" s="147"/>
      <c r="F139" s="148" t="s">
        <v>7</v>
      </c>
      <c r="G139" s="149" t="s">
        <v>7</v>
      </c>
      <c r="H139" s="149" t="s">
        <v>7</v>
      </c>
      <c r="I139" s="149">
        <f>I140+I141+I142+I143</f>
        <v>10644743</v>
      </c>
      <c r="J139" s="150" t="s">
        <v>7</v>
      </c>
      <c r="K139" s="93"/>
      <c r="L139" s="94"/>
      <c r="M139" s="95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</row>
    <row r="140" spans="1:52" s="13" customFormat="1" ht="18.75" x14ac:dyDescent="0.3">
      <c r="A140" s="138" t="s">
        <v>11</v>
      </c>
      <c r="B140" s="139">
        <v>6030</v>
      </c>
      <c r="C140" s="140" t="s">
        <v>18</v>
      </c>
      <c r="D140" s="226" t="s">
        <v>19</v>
      </c>
      <c r="E140" s="117" t="s">
        <v>96</v>
      </c>
      <c r="F140" s="109">
        <v>2021</v>
      </c>
      <c r="G140" s="110">
        <v>0</v>
      </c>
      <c r="H140" s="111">
        <v>0</v>
      </c>
      <c r="I140" s="110">
        <f>3466000+1700000+890000+224000+91640</f>
        <v>6371640</v>
      </c>
      <c r="J140" s="112"/>
      <c r="K140" s="34">
        <v>2052</v>
      </c>
      <c r="L140" s="38">
        <f>185130+167328+11352+3257070+933730+1698000</f>
        <v>6252610</v>
      </c>
      <c r="M140" s="33">
        <f t="shared" si="6"/>
        <v>119030</v>
      </c>
      <c r="N140" s="13" t="s">
        <v>222</v>
      </c>
    </row>
    <row r="141" spans="1:52" s="13" customFormat="1" ht="37.5" x14ac:dyDescent="0.3">
      <c r="A141" s="138"/>
      <c r="B141" s="139"/>
      <c r="C141" s="140"/>
      <c r="D141" s="227"/>
      <c r="E141" s="117" t="s">
        <v>238</v>
      </c>
      <c r="F141" s="109">
        <v>2021</v>
      </c>
      <c r="G141" s="110">
        <f>I141</f>
        <v>1464553</v>
      </c>
      <c r="H141" s="111">
        <v>0</v>
      </c>
      <c r="I141" s="110">
        <f>15001+1449552</f>
        <v>1464553</v>
      </c>
      <c r="J141" s="112"/>
      <c r="K141" s="34">
        <v>2128</v>
      </c>
      <c r="L141" s="38">
        <v>15000</v>
      </c>
      <c r="M141" s="33">
        <f t="shared" si="6"/>
        <v>1449553</v>
      </c>
    </row>
    <row r="142" spans="1:52" s="13" customFormat="1" ht="18.75" x14ac:dyDescent="0.3">
      <c r="A142" s="138"/>
      <c r="B142" s="139"/>
      <c r="C142" s="140"/>
      <c r="D142" s="227"/>
      <c r="E142" s="235" t="s">
        <v>242</v>
      </c>
      <c r="F142" s="109">
        <v>2021</v>
      </c>
      <c r="G142" s="110">
        <v>1552373</v>
      </c>
      <c r="H142" s="111">
        <v>0</v>
      </c>
      <c r="I142" s="110">
        <v>1437340</v>
      </c>
      <c r="J142" s="112"/>
      <c r="K142" s="34">
        <v>2145</v>
      </c>
      <c r="L142" s="38"/>
      <c r="M142" s="33">
        <f t="shared" si="6"/>
        <v>1437340</v>
      </c>
    </row>
    <row r="143" spans="1:52" s="13" customFormat="1" ht="37.5" x14ac:dyDescent="0.3">
      <c r="A143" s="138"/>
      <c r="B143" s="139"/>
      <c r="C143" s="140"/>
      <c r="D143" s="228"/>
      <c r="E143" s="117" t="s">
        <v>243</v>
      </c>
      <c r="F143" s="109">
        <v>2021</v>
      </c>
      <c r="G143" s="110">
        <v>1486243</v>
      </c>
      <c r="H143" s="111">
        <v>0</v>
      </c>
      <c r="I143" s="110">
        <v>1371210</v>
      </c>
      <c r="J143" s="112"/>
      <c r="K143" s="34">
        <v>2146</v>
      </c>
      <c r="L143" s="38"/>
      <c r="M143" s="33">
        <f t="shared" si="6"/>
        <v>1371210</v>
      </c>
    </row>
    <row r="144" spans="1:52" s="4" customFormat="1" ht="18.75" x14ac:dyDescent="0.2">
      <c r="A144" s="232"/>
      <c r="B144" s="233"/>
      <c r="C144" s="234"/>
      <c r="D144" s="146" t="s">
        <v>122</v>
      </c>
      <c r="E144" s="147"/>
      <c r="F144" s="148" t="s">
        <v>7</v>
      </c>
      <c r="G144" s="149" t="s">
        <v>7</v>
      </c>
      <c r="H144" s="149" t="s">
        <v>7</v>
      </c>
      <c r="I144" s="149">
        <f>I145</f>
        <v>146700</v>
      </c>
      <c r="J144" s="150" t="s">
        <v>7</v>
      </c>
      <c r="K144" s="88"/>
      <c r="L144" s="89"/>
      <c r="M144" s="90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</row>
    <row r="145" spans="1:52" s="13" customFormat="1" ht="18.75" x14ac:dyDescent="0.3">
      <c r="A145" s="104" t="s">
        <v>121</v>
      </c>
      <c r="B145" s="213" t="s">
        <v>22</v>
      </c>
      <c r="C145" s="214" t="s">
        <v>124</v>
      </c>
      <c r="D145" s="215" t="s">
        <v>123</v>
      </c>
      <c r="E145" s="117" t="s">
        <v>96</v>
      </c>
      <c r="F145" s="109">
        <v>2021</v>
      </c>
      <c r="G145" s="110">
        <v>0</v>
      </c>
      <c r="H145" s="111">
        <v>0</v>
      </c>
      <c r="I145" s="110">
        <v>146700</v>
      </c>
      <c r="J145" s="112"/>
      <c r="K145" s="34">
        <v>2094</v>
      </c>
      <c r="L145" s="72">
        <f>129260+7197</f>
        <v>136457</v>
      </c>
      <c r="M145" s="33">
        <f t="shared" si="6"/>
        <v>10243</v>
      </c>
      <c r="N145" s="13" t="s">
        <v>220</v>
      </c>
    </row>
    <row r="146" spans="1:52" s="4" customFormat="1" ht="18.75" x14ac:dyDescent="0.3">
      <c r="A146" s="167" t="s">
        <v>181</v>
      </c>
      <c r="B146" s="236"/>
      <c r="C146" s="168"/>
      <c r="D146" s="169" t="s">
        <v>77</v>
      </c>
      <c r="E146" s="155"/>
      <c r="F146" s="148" t="s">
        <v>7</v>
      </c>
      <c r="G146" s="149" t="s">
        <v>7</v>
      </c>
      <c r="H146" s="149" t="s">
        <v>7</v>
      </c>
      <c r="I146" s="149">
        <f>SUM(I147:I163)+I165+I166+I167+I168+I169+I170+I171+I172+I173+I174</f>
        <v>59892567</v>
      </c>
      <c r="J146" s="150" t="s">
        <v>7</v>
      </c>
      <c r="K146" s="82"/>
      <c r="L146" s="83"/>
      <c r="M146" s="84"/>
    </row>
    <row r="147" spans="1:52" s="13" customFormat="1" ht="37.5" x14ac:dyDescent="0.3">
      <c r="A147" s="138" t="s">
        <v>23</v>
      </c>
      <c r="B147" s="170">
        <v>7321</v>
      </c>
      <c r="C147" s="138" t="s">
        <v>24</v>
      </c>
      <c r="D147" s="170" t="s">
        <v>50</v>
      </c>
      <c r="E147" s="172" t="s">
        <v>204</v>
      </c>
      <c r="F147" s="109">
        <v>2021</v>
      </c>
      <c r="G147" s="110">
        <f>I147</f>
        <v>329527</v>
      </c>
      <c r="H147" s="111">
        <v>0</v>
      </c>
      <c r="I147" s="110">
        <f>49900+279627</f>
        <v>329527</v>
      </c>
      <c r="J147" s="112"/>
      <c r="K147" s="34">
        <v>2028</v>
      </c>
      <c r="L147" s="73">
        <v>329527</v>
      </c>
      <c r="M147" s="33">
        <f t="shared" si="6"/>
        <v>0</v>
      </c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 s="13" customFormat="1" ht="93" customHeight="1" x14ac:dyDescent="0.3">
      <c r="A148" s="138"/>
      <c r="B148" s="170"/>
      <c r="C148" s="138"/>
      <c r="D148" s="170"/>
      <c r="E148" s="172" t="s">
        <v>244</v>
      </c>
      <c r="F148" s="109">
        <v>2021</v>
      </c>
      <c r="G148" s="110">
        <f t="shared" ref="G148:G153" si="13">I148</f>
        <v>49500</v>
      </c>
      <c r="H148" s="111">
        <v>0</v>
      </c>
      <c r="I148" s="110">
        <v>49500</v>
      </c>
      <c r="J148" s="112"/>
      <c r="K148" s="34">
        <v>2095</v>
      </c>
      <c r="L148" s="73">
        <v>49500</v>
      </c>
      <c r="M148" s="33">
        <f t="shared" si="6"/>
        <v>0</v>
      </c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 s="13" customFormat="1" ht="75" x14ac:dyDescent="0.3">
      <c r="A149" s="138"/>
      <c r="B149" s="170"/>
      <c r="C149" s="138"/>
      <c r="D149" s="170"/>
      <c r="E149" s="172" t="s">
        <v>205</v>
      </c>
      <c r="F149" s="109">
        <v>2021</v>
      </c>
      <c r="G149" s="110">
        <f t="shared" si="13"/>
        <v>49500</v>
      </c>
      <c r="H149" s="111">
        <v>0</v>
      </c>
      <c r="I149" s="110">
        <v>49500</v>
      </c>
      <c r="J149" s="112"/>
      <c r="K149" s="34">
        <v>2096</v>
      </c>
      <c r="L149" s="73">
        <v>49500</v>
      </c>
      <c r="M149" s="33">
        <f t="shared" si="6"/>
        <v>0</v>
      </c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 s="55" customFormat="1" ht="68.25" customHeight="1" x14ac:dyDescent="0.3">
      <c r="A150" s="138"/>
      <c r="B150" s="170"/>
      <c r="C150" s="138"/>
      <c r="D150" s="170"/>
      <c r="E150" s="172" t="s">
        <v>166</v>
      </c>
      <c r="F150" s="109">
        <v>2021</v>
      </c>
      <c r="G150" s="110">
        <f t="shared" si="13"/>
        <v>44500</v>
      </c>
      <c r="H150" s="111">
        <v>0</v>
      </c>
      <c r="I150" s="110">
        <v>44500</v>
      </c>
      <c r="J150" s="112"/>
      <c r="K150" s="66">
        <v>2106</v>
      </c>
      <c r="L150" s="75">
        <v>44500</v>
      </c>
      <c r="M150" s="68">
        <f t="shared" si="6"/>
        <v>0</v>
      </c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56"/>
      <c r="AW150" s="56"/>
      <c r="AX150" s="56"/>
      <c r="AY150" s="56"/>
      <c r="AZ150" s="56"/>
    </row>
    <row r="151" spans="1:52" s="55" customFormat="1" ht="68.25" customHeight="1" x14ac:dyDescent="0.3">
      <c r="A151" s="138"/>
      <c r="B151" s="170"/>
      <c r="C151" s="138"/>
      <c r="D151" s="170"/>
      <c r="E151" s="172" t="s">
        <v>165</v>
      </c>
      <c r="F151" s="109">
        <v>2021</v>
      </c>
      <c r="G151" s="110">
        <f t="shared" si="13"/>
        <v>48500</v>
      </c>
      <c r="H151" s="111">
        <v>0</v>
      </c>
      <c r="I151" s="110">
        <v>48500</v>
      </c>
      <c r="J151" s="112"/>
      <c r="K151" s="66">
        <v>2107</v>
      </c>
      <c r="L151" s="75">
        <v>48500</v>
      </c>
      <c r="M151" s="68">
        <f t="shared" si="6"/>
        <v>0</v>
      </c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56"/>
      <c r="AT151" s="56"/>
      <c r="AU151" s="56"/>
      <c r="AV151" s="56"/>
      <c r="AW151" s="56"/>
      <c r="AX151" s="56"/>
      <c r="AY151" s="56"/>
      <c r="AZ151" s="56"/>
    </row>
    <row r="152" spans="1:52" s="55" customFormat="1" ht="56.25" x14ac:dyDescent="0.3">
      <c r="A152" s="138"/>
      <c r="B152" s="170"/>
      <c r="C152" s="138"/>
      <c r="D152" s="170"/>
      <c r="E152" s="172" t="s">
        <v>206</v>
      </c>
      <c r="F152" s="109">
        <v>2021</v>
      </c>
      <c r="G152" s="110">
        <f t="shared" si="13"/>
        <v>49500</v>
      </c>
      <c r="H152" s="111">
        <v>0</v>
      </c>
      <c r="I152" s="110">
        <v>49500</v>
      </c>
      <c r="J152" s="112"/>
      <c r="K152" s="66">
        <v>2112</v>
      </c>
      <c r="L152" s="75">
        <v>49500</v>
      </c>
      <c r="M152" s="68">
        <f t="shared" si="6"/>
        <v>0</v>
      </c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56"/>
      <c r="AD152" s="56"/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  <c r="AQ152" s="56"/>
      <c r="AR152" s="56"/>
      <c r="AS152" s="56"/>
      <c r="AT152" s="56"/>
      <c r="AU152" s="56"/>
      <c r="AV152" s="56"/>
      <c r="AW152" s="56"/>
      <c r="AX152" s="56"/>
      <c r="AY152" s="56"/>
      <c r="AZ152" s="56"/>
    </row>
    <row r="153" spans="1:52" s="55" customFormat="1" ht="63" customHeight="1" x14ac:dyDescent="0.3">
      <c r="A153" s="138"/>
      <c r="B153" s="170"/>
      <c r="C153" s="138"/>
      <c r="D153" s="170"/>
      <c r="E153" s="172" t="s">
        <v>164</v>
      </c>
      <c r="F153" s="109">
        <v>2021</v>
      </c>
      <c r="G153" s="110">
        <f t="shared" si="13"/>
        <v>889000</v>
      </c>
      <c r="H153" s="111">
        <v>0</v>
      </c>
      <c r="I153" s="110">
        <v>889000</v>
      </c>
      <c r="J153" s="112"/>
      <c r="K153" s="66">
        <v>2113</v>
      </c>
      <c r="L153" s="75">
        <v>889000</v>
      </c>
      <c r="M153" s="68">
        <f t="shared" si="6"/>
        <v>0</v>
      </c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  <c r="AC153" s="56"/>
      <c r="AD153" s="56"/>
      <c r="AE153" s="56"/>
      <c r="AF153" s="56"/>
      <c r="AG153" s="56"/>
      <c r="AH153" s="56"/>
      <c r="AI153" s="56"/>
      <c r="AJ153" s="56"/>
      <c r="AK153" s="56"/>
      <c r="AL153" s="56"/>
      <c r="AM153" s="56"/>
      <c r="AN153" s="56"/>
      <c r="AO153" s="56"/>
      <c r="AP153" s="56"/>
      <c r="AQ153" s="56"/>
      <c r="AR153" s="56"/>
      <c r="AS153" s="56"/>
      <c r="AT153" s="56"/>
      <c r="AU153" s="56"/>
      <c r="AV153" s="56"/>
      <c r="AW153" s="56"/>
      <c r="AX153" s="56"/>
      <c r="AY153" s="56"/>
      <c r="AZ153" s="56"/>
    </row>
    <row r="154" spans="1:52" s="13" customFormat="1" ht="75" x14ac:dyDescent="0.3">
      <c r="A154" s="138"/>
      <c r="B154" s="170"/>
      <c r="C154" s="138"/>
      <c r="D154" s="170"/>
      <c r="E154" s="172" t="s">
        <v>218</v>
      </c>
      <c r="F154" s="109">
        <v>2021</v>
      </c>
      <c r="G154" s="110">
        <v>35801</v>
      </c>
      <c r="H154" s="111">
        <v>0</v>
      </c>
      <c r="I154" s="110">
        <v>35801</v>
      </c>
      <c r="J154" s="112"/>
      <c r="K154" s="34">
        <v>2116</v>
      </c>
      <c r="L154" s="73">
        <v>35800.75</v>
      </c>
      <c r="M154" s="33">
        <f t="shared" si="6"/>
        <v>0.25</v>
      </c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 s="13" customFormat="1" ht="56.25" x14ac:dyDescent="0.3">
      <c r="A155" s="138"/>
      <c r="B155" s="170"/>
      <c r="C155" s="138"/>
      <c r="D155" s="170"/>
      <c r="E155" s="172" t="s">
        <v>210</v>
      </c>
      <c r="F155" s="109">
        <v>2021</v>
      </c>
      <c r="G155" s="110">
        <v>49667</v>
      </c>
      <c r="H155" s="111">
        <v>0</v>
      </c>
      <c r="I155" s="110">
        <v>49667</v>
      </c>
      <c r="J155" s="112"/>
      <c r="K155" s="34">
        <v>2117</v>
      </c>
      <c r="L155" s="73">
        <v>49666.98</v>
      </c>
      <c r="M155" s="33">
        <f t="shared" si="6"/>
        <v>1.9999999996798579E-2</v>
      </c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 s="13" customFormat="1" ht="37.5" x14ac:dyDescent="0.3">
      <c r="A156" s="138"/>
      <c r="B156" s="170"/>
      <c r="C156" s="138"/>
      <c r="D156" s="170"/>
      <c r="E156" s="175" t="s">
        <v>262</v>
      </c>
      <c r="F156" s="109">
        <v>2021</v>
      </c>
      <c r="G156" s="177">
        <v>80066712</v>
      </c>
      <c r="H156" s="111">
        <v>0</v>
      </c>
      <c r="I156" s="177">
        <v>14711356</v>
      </c>
      <c r="J156" s="112"/>
      <c r="K156" s="34">
        <v>2148</v>
      </c>
      <c r="L156" s="42"/>
      <c r="M156" s="33">
        <f t="shared" si="6"/>
        <v>14711356</v>
      </c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 s="13" customFormat="1" ht="39" customHeight="1" x14ac:dyDescent="0.3">
      <c r="A157" s="138"/>
      <c r="B157" s="170"/>
      <c r="C157" s="138"/>
      <c r="D157" s="170"/>
      <c r="E157" s="175" t="s">
        <v>263</v>
      </c>
      <c r="F157" s="109">
        <v>2021</v>
      </c>
      <c r="G157" s="177">
        <v>7273000</v>
      </c>
      <c r="H157" s="111">
        <v>0</v>
      </c>
      <c r="I157" s="177">
        <v>7273000</v>
      </c>
      <c r="J157" s="112"/>
      <c r="K157" s="34">
        <v>2149</v>
      </c>
      <c r="L157" s="42">
        <v>2181900</v>
      </c>
      <c r="M157" s="33">
        <f t="shared" si="6"/>
        <v>5091100</v>
      </c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 s="13" customFormat="1" ht="37.5" x14ac:dyDescent="0.3">
      <c r="A158" s="138"/>
      <c r="B158" s="170"/>
      <c r="C158" s="138"/>
      <c r="D158" s="170"/>
      <c r="E158" s="175" t="s">
        <v>264</v>
      </c>
      <c r="F158" s="109">
        <v>2021</v>
      </c>
      <c r="G158" s="177">
        <v>13801319</v>
      </c>
      <c r="H158" s="111">
        <v>0</v>
      </c>
      <c r="I158" s="177">
        <v>1645427</v>
      </c>
      <c r="J158" s="112"/>
      <c r="K158" s="34">
        <v>2150</v>
      </c>
      <c r="L158" s="42"/>
      <c r="M158" s="33">
        <f t="shared" si="6"/>
        <v>1645427</v>
      </c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 s="13" customFormat="1" ht="75" x14ac:dyDescent="0.3">
      <c r="A159" s="138"/>
      <c r="B159" s="170"/>
      <c r="C159" s="138"/>
      <c r="D159" s="170"/>
      <c r="E159" s="175" t="s">
        <v>265</v>
      </c>
      <c r="F159" s="109">
        <v>2021</v>
      </c>
      <c r="G159" s="177">
        <v>9513572</v>
      </c>
      <c r="H159" s="111">
        <v>0</v>
      </c>
      <c r="I159" s="177">
        <v>4541047</v>
      </c>
      <c r="J159" s="112"/>
      <c r="K159" s="34">
        <v>2151</v>
      </c>
      <c r="L159" s="42"/>
      <c r="M159" s="33">
        <f t="shared" si="6"/>
        <v>4541047</v>
      </c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 s="13" customFormat="1" ht="37.5" x14ac:dyDescent="0.3">
      <c r="A160" s="138"/>
      <c r="B160" s="170"/>
      <c r="C160" s="138"/>
      <c r="D160" s="170"/>
      <c r="E160" s="172" t="s">
        <v>275</v>
      </c>
      <c r="F160" s="109">
        <v>2021</v>
      </c>
      <c r="G160" s="110">
        <v>1218117</v>
      </c>
      <c r="H160" s="111">
        <v>0</v>
      </c>
      <c r="I160" s="110">
        <f>G160</f>
        <v>1218117</v>
      </c>
      <c r="J160" s="237"/>
      <c r="K160" s="34">
        <v>2154</v>
      </c>
      <c r="L160" s="42"/>
      <c r="M160" s="33">
        <f t="shared" si="6"/>
        <v>1218117</v>
      </c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 s="13" customFormat="1" ht="37.5" x14ac:dyDescent="0.3">
      <c r="A161" s="138"/>
      <c r="B161" s="170"/>
      <c r="C161" s="138"/>
      <c r="D161" s="170"/>
      <c r="E161" s="175" t="s">
        <v>277</v>
      </c>
      <c r="F161" s="109">
        <v>2021</v>
      </c>
      <c r="G161" s="110">
        <f>I161</f>
        <v>299000</v>
      </c>
      <c r="H161" s="111">
        <v>0</v>
      </c>
      <c r="I161" s="110">
        <v>299000</v>
      </c>
      <c r="J161" s="237"/>
      <c r="K161" s="34">
        <v>2155</v>
      </c>
      <c r="L161" s="42"/>
      <c r="M161" s="33">
        <f t="shared" si="6"/>
        <v>299000</v>
      </c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 s="13" customFormat="1" ht="56.25" x14ac:dyDescent="0.3">
      <c r="A162" s="138"/>
      <c r="B162" s="170"/>
      <c r="C162" s="138"/>
      <c r="D162" s="170"/>
      <c r="E162" s="175" t="s">
        <v>278</v>
      </c>
      <c r="F162" s="109">
        <v>2021</v>
      </c>
      <c r="G162" s="110">
        <f>I162</f>
        <v>293780</v>
      </c>
      <c r="H162" s="111">
        <v>0</v>
      </c>
      <c r="I162" s="110">
        <v>293780</v>
      </c>
      <c r="J162" s="237"/>
      <c r="K162" s="34">
        <v>2156</v>
      </c>
      <c r="L162" s="42"/>
      <c r="M162" s="33">
        <f t="shared" si="6"/>
        <v>293780</v>
      </c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 s="13" customFormat="1" ht="37.5" x14ac:dyDescent="0.3">
      <c r="A163" s="138"/>
      <c r="B163" s="170"/>
      <c r="C163" s="138"/>
      <c r="D163" s="170"/>
      <c r="E163" s="175" t="s">
        <v>279</v>
      </c>
      <c r="F163" s="109">
        <v>2022</v>
      </c>
      <c r="G163" s="110">
        <f>I163</f>
        <v>289220</v>
      </c>
      <c r="H163" s="111">
        <v>0</v>
      </c>
      <c r="I163" s="110">
        <v>289220</v>
      </c>
      <c r="J163" s="237"/>
      <c r="K163" s="34">
        <v>2157</v>
      </c>
      <c r="L163" s="42"/>
      <c r="M163" s="33">
        <f t="shared" ref="M163" si="14">I163-L163</f>
        <v>289220</v>
      </c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 s="13" customFormat="1" ht="18.75" x14ac:dyDescent="0.25">
      <c r="A164" s="178" t="s">
        <v>149</v>
      </c>
      <c r="B164" s="179"/>
      <c r="C164" s="179"/>
      <c r="D164" s="179"/>
      <c r="E164" s="179"/>
      <c r="F164" s="179"/>
      <c r="G164" s="179"/>
      <c r="H164" s="179"/>
      <c r="I164" s="179"/>
      <c r="J164" s="180"/>
      <c r="K164" s="85"/>
      <c r="L164" s="86"/>
      <c r="M164" s="87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 s="13" customFormat="1" ht="48.75" customHeight="1" x14ac:dyDescent="0.25">
      <c r="A165" s="104" t="s">
        <v>59</v>
      </c>
      <c r="B165" s="238">
        <v>1200</v>
      </c>
      <c r="C165" s="104" t="s">
        <v>58</v>
      </c>
      <c r="D165" s="123" t="s">
        <v>67</v>
      </c>
      <c r="E165" s="108" t="s">
        <v>10</v>
      </c>
      <c r="F165" s="109">
        <v>2021</v>
      </c>
      <c r="G165" s="110">
        <v>0</v>
      </c>
      <c r="H165" s="111">
        <v>0</v>
      </c>
      <c r="I165" s="110">
        <v>640541</v>
      </c>
      <c r="J165" s="112"/>
      <c r="K165" s="34">
        <v>2043</v>
      </c>
      <c r="L165" s="42"/>
      <c r="M165" s="33">
        <f t="shared" ref="M165:M174" si="15">I165-L165</f>
        <v>640541</v>
      </c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 s="13" customFormat="1" ht="45" customHeight="1" x14ac:dyDescent="0.25">
      <c r="A166" s="104" t="s">
        <v>69</v>
      </c>
      <c r="B166" s="238">
        <v>7368</v>
      </c>
      <c r="C166" s="104" t="s">
        <v>5</v>
      </c>
      <c r="D166" s="186" t="s">
        <v>70</v>
      </c>
      <c r="E166" s="108" t="s">
        <v>171</v>
      </c>
      <c r="F166" s="109" t="s">
        <v>189</v>
      </c>
      <c r="G166" s="110">
        <v>67620674</v>
      </c>
      <c r="H166" s="111">
        <v>0.3</v>
      </c>
      <c r="I166" s="110">
        <v>22754622</v>
      </c>
      <c r="J166" s="112"/>
      <c r="K166" s="34">
        <v>2044</v>
      </c>
      <c r="L166" s="73">
        <f>2000000+3232751.68</f>
        <v>5232751.68</v>
      </c>
      <c r="M166" s="33">
        <f t="shared" si="15"/>
        <v>17521870.32</v>
      </c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 s="13" customFormat="1" ht="56.25" x14ac:dyDescent="0.2">
      <c r="A167" s="203" t="s">
        <v>225</v>
      </c>
      <c r="B167" s="188">
        <v>7363</v>
      </c>
      <c r="C167" s="104" t="s">
        <v>5</v>
      </c>
      <c r="D167" s="123" t="s">
        <v>61</v>
      </c>
      <c r="E167" s="108" t="s">
        <v>226</v>
      </c>
      <c r="F167" s="109">
        <v>2021</v>
      </c>
      <c r="G167" s="110">
        <v>1728000</v>
      </c>
      <c r="H167" s="111">
        <v>0</v>
      </c>
      <c r="I167" s="110">
        <v>1728000</v>
      </c>
      <c r="J167" s="112"/>
      <c r="K167" s="34">
        <v>2120</v>
      </c>
      <c r="L167" s="38">
        <v>0</v>
      </c>
      <c r="M167" s="33">
        <f t="shared" si="15"/>
        <v>1728000</v>
      </c>
    </row>
    <row r="168" spans="1:52" s="13" customFormat="1" ht="56.25" x14ac:dyDescent="0.25">
      <c r="A168" s="239" t="s">
        <v>230</v>
      </c>
      <c r="B168" s="240">
        <v>1061</v>
      </c>
      <c r="C168" s="115" t="s">
        <v>231</v>
      </c>
      <c r="D168" s="133" t="s">
        <v>232</v>
      </c>
      <c r="E168" s="108" t="s">
        <v>229</v>
      </c>
      <c r="F168" s="109">
        <v>2021</v>
      </c>
      <c r="G168" s="110">
        <v>295000</v>
      </c>
      <c r="H168" s="111">
        <v>0</v>
      </c>
      <c r="I168" s="110">
        <v>295000</v>
      </c>
      <c r="J168" s="112"/>
      <c r="K168" s="57">
        <v>2122</v>
      </c>
      <c r="L168" s="42">
        <v>88408.84</v>
      </c>
      <c r="M168" s="33">
        <f t="shared" si="15"/>
        <v>206591.16</v>
      </c>
    </row>
    <row r="169" spans="1:52" s="13" customFormat="1" ht="37.5" x14ac:dyDescent="0.25">
      <c r="A169" s="241"/>
      <c r="B169" s="242"/>
      <c r="C169" s="134"/>
      <c r="D169" s="137"/>
      <c r="E169" s="108" t="s">
        <v>233</v>
      </c>
      <c r="F169" s="109">
        <v>2021</v>
      </c>
      <c r="G169" s="110">
        <v>250000</v>
      </c>
      <c r="H169" s="111">
        <v>0</v>
      </c>
      <c r="I169" s="110">
        <v>250000</v>
      </c>
      <c r="J169" s="112"/>
      <c r="K169" s="57">
        <v>2123</v>
      </c>
      <c r="L169" s="42">
        <v>71847.320000000007</v>
      </c>
      <c r="M169" s="33">
        <f t="shared" si="15"/>
        <v>178152.68</v>
      </c>
    </row>
    <row r="170" spans="1:52" s="13" customFormat="1" ht="37.5" x14ac:dyDescent="0.25">
      <c r="A170" s="241"/>
      <c r="B170" s="242"/>
      <c r="C170" s="134"/>
      <c r="D170" s="137"/>
      <c r="E170" s="108" t="s">
        <v>234</v>
      </c>
      <c r="F170" s="109">
        <v>2021</v>
      </c>
      <c r="G170" s="110">
        <v>419000</v>
      </c>
      <c r="H170" s="111">
        <v>0</v>
      </c>
      <c r="I170" s="110">
        <v>419000</v>
      </c>
      <c r="J170" s="112"/>
      <c r="K170" s="57">
        <v>2124</v>
      </c>
      <c r="L170" s="42">
        <f>5700+123510.24</f>
        <v>129210.24000000001</v>
      </c>
      <c r="M170" s="33">
        <f t="shared" si="15"/>
        <v>289789.76</v>
      </c>
    </row>
    <row r="171" spans="1:52" s="13" customFormat="1" ht="37.5" x14ac:dyDescent="0.25">
      <c r="A171" s="241"/>
      <c r="B171" s="242"/>
      <c r="C171" s="134"/>
      <c r="D171" s="137"/>
      <c r="E171" s="108" t="s">
        <v>235</v>
      </c>
      <c r="F171" s="109">
        <v>2021</v>
      </c>
      <c r="G171" s="110">
        <v>342000</v>
      </c>
      <c r="H171" s="111">
        <v>0</v>
      </c>
      <c r="I171" s="110">
        <v>342000</v>
      </c>
      <c r="J171" s="112"/>
      <c r="K171" s="57">
        <v>2125</v>
      </c>
      <c r="L171" s="42">
        <f>5400+100523.17</f>
        <v>105923.17</v>
      </c>
      <c r="M171" s="33">
        <f t="shared" si="15"/>
        <v>236076.83000000002</v>
      </c>
    </row>
    <row r="172" spans="1:52" s="13" customFormat="1" ht="37.5" x14ac:dyDescent="0.25">
      <c r="A172" s="241"/>
      <c r="B172" s="242"/>
      <c r="C172" s="134"/>
      <c r="D172" s="137"/>
      <c r="E172" s="108" t="s">
        <v>236</v>
      </c>
      <c r="F172" s="109">
        <v>2021</v>
      </c>
      <c r="G172" s="110">
        <v>260000</v>
      </c>
      <c r="H172" s="111">
        <v>0</v>
      </c>
      <c r="I172" s="110">
        <v>260000</v>
      </c>
      <c r="J172" s="112"/>
      <c r="K172" s="57">
        <v>2126</v>
      </c>
      <c r="L172" s="42">
        <v>77995.759999999995</v>
      </c>
      <c r="M172" s="33">
        <f t="shared" si="15"/>
        <v>182004.24</v>
      </c>
    </row>
    <row r="173" spans="1:52" s="13" customFormat="1" ht="37.5" x14ac:dyDescent="0.2">
      <c r="A173" s="243"/>
      <c r="B173" s="244"/>
      <c r="C173" s="120"/>
      <c r="D173" s="183"/>
      <c r="E173" s="108" t="s">
        <v>237</v>
      </c>
      <c r="F173" s="109">
        <v>2021</v>
      </c>
      <c r="G173" s="110">
        <v>840000</v>
      </c>
      <c r="H173" s="111">
        <v>0</v>
      </c>
      <c r="I173" s="110">
        <v>840000</v>
      </c>
      <c r="J173" s="112"/>
      <c r="K173" s="57">
        <v>2127</v>
      </c>
      <c r="L173" s="57"/>
      <c r="M173" s="33">
        <f t="shared" si="15"/>
        <v>840000</v>
      </c>
    </row>
    <row r="174" spans="1:52" s="13" customFormat="1" ht="93.75" x14ac:dyDescent="0.2">
      <c r="A174" s="245" t="s">
        <v>271</v>
      </c>
      <c r="B174" s="187">
        <v>1182</v>
      </c>
      <c r="C174" s="185" t="s">
        <v>273</v>
      </c>
      <c r="D174" s="186" t="s">
        <v>272</v>
      </c>
      <c r="E174" s="108" t="s">
        <v>96</v>
      </c>
      <c r="F174" s="109">
        <v>2021</v>
      </c>
      <c r="G174" s="110">
        <v>0</v>
      </c>
      <c r="H174" s="111">
        <v>0</v>
      </c>
      <c r="I174" s="110">
        <v>546962</v>
      </c>
      <c r="J174" s="112"/>
      <c r="K174" s="57">
        <v>2153</v>
      </c>
      <c r="L174" s="57"/>
      <c r="M174" s="33">
        <f t="shared" si="15"/>
        <v>546962</v>
      </c>
    </row>
    <row r="175" spans="1:52" ht="37.5" x14ac:dyDescent="0.3">
      <c r="A175" s="167" t="s">
        <v>180</v>
      </c>
      <c r="B175" s="168"/>
      <c r="C175" s="168"/>
      <c r="D175" s="169" t="s">
        <v>151</v>
      </c>
      <c r="E175" s="155"/>
      <c r="F175" s="148" t="s">
        <v>7</v>
      </c>
      <c r="G175" s="149" t="s">
        <v>7</v>
      </c>
      <c r="H175" s="149" t="s">
        <v>7</v>
      </c>
      <c r="I175" s="149">
        <f>I176+I178</f>
        <v>8581950</v>
      </c>
      <c r="J175" s="150" t="s">
        <v>7</v>
      </c>
      <c r="K175" s="70"/>
      <c r="L175" s="71"/>
      <c r="M175" s="68">
        <f t="shared" si="6"/>
        <v>8581950</v>
      </c>
    </row>
    <row r="176" spans="1:52" s="13" customFormat="1" ht="56.25" x14ac:dyDescent="0.3">
      <c r="A176" s="104" t="s">
        <v>152</v>
      </c>
      <c r="B176" s="188">
        <v>7323</v>
      </c>
      <c r="C176" s="189" t="s">
        <v>24</v>
      </c>
      <c r="D176" s="123" t="s">
        <v>153</v>
      </c>
      <c r="E176" s="117" t="s">
        <v>167</v>
      </c>
      <c r="F176" s="109">
        <v>2021</v>
      </c>
      <c r="G176" s="173">
        <f>I176</f>
        <v>49950</v>
      </c>
      <c r="H176" s="111">
        <v>0</v>
      </c>
      <c r="I176" s="173">
        <v>49950</v>
      </c>
      <c r="J176" s="112"/>
      <c r="K176" s="34">
        <v>2107</v>
      </c>
      <c r="L176" s="73">
        <v>49950</v>
      </c>
      <c r="M176" s="33">
        <f t="shared" si="6"/>
        <v>0</v>
      </c>
    </row>
    <row r="177" spans="1:52" s="13" customFormat="1" ht="18.75" x14ac:dyDescent="0.25">
      <c r="A177" s="178" t="s">
        <v>149</v>
      </c>
      <c r="B177" s="179"/>
      <c r="C177" s="179"/>
      <c r="D177" s="179"/>
      <c r="E177" s="179"/>
      <c r="F177" s="179"/>
      <c r="G177" s="179"/>
      <c r="H177" s="179"/>
      <c r="I177" s="179"/>
      <c r="J177" s="180"/>
      <c r="K177" s="85"/>
      <c r="L177" s="86"/>
      <c r="M177" s="87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 s="13" customFormat="1" ht="56.25" x14ac:dyDescent="0.2">
      <c r="A178" s="203" t="s">
        <v>227</v>
      </c>
      <c r="B178" s="188">
        <v>7363</v>
      </c>
      <c r="C178" s="104" t="s">
        <v>5</v>
      </c>
      <c r="D178" s="123" t="s">
        <v>61</v>
      </c>
      <c r="E178" s="108" t="s">
        <v>228</v>
      </c>
      <c r="F178" s="109">
        <v>2021</v>
      </c>
      <c r="G178" s="110">
        <v>9297776</v>
      </c>
      <c r="H178" s="111">
        <v>0</v>
      </c>
      <c r="I178" s="110">
        <v>8532000</v>
      </c>
      <c r="J178" s="112"/>
      <c r="K178" s="34">
        <v>2121</v>
      </c>
      <c r="L178" s="38">
        <v>0</v>
      </c>
      <c r="M178" s="33">
        <f t="shared" ref="M178" si="16">I178-L178</f>
        <v>8532000</v>
      </c>
    </row>
    <row r="179" spans="1:52" s="4" customFormat="1" ht="37.5" x14ac:dyDescent="0.3">
      <c r="A179" s="37">
        <v>1000000</v>
      </c>
      <c r="B179" s="168"/>
      <c r="C179" s="168"/>
      <c r="D179" s="169" t="s">
        <v>76</v>
      </c>
      <c r="E179" s="155"/>
      <c r="F179" s="148" t="s">
        <v>7</v>
      </c>
      <c r="G179" s="149" t="s">
        <v>7</v>
      </c>
      <c r="H179" s="149" t="s">
        <v>7</v>
      </c>
      <c r="I179" s="149">
        <f>SUM(I180:I182)</f>
        <v>314095</v>
      </c>
      <c r="J179" s="150" t="s">
        <v>7</v>
      </c>
      <c r="K179" s="82"/>
      <c r="L179" s="83"/>
      <c r="M179" s="84"/>
    </row>
    <row r="180" spans="1:52" s="13" customFormat="1" ht="37.5" x14ac:dyDescent="0.3">
      <c r="A180" s="115" t="s">
        <v>93</v>
      </c>
      <c r="B180" s="240">
        <v>4060</v>
      </c>
      <c r="C180" s="240" t="s">
        <v>95</v>
      </c>
      <c r="D180" s="133" t="s">
        <v>94</v>
      </c>
      <c r="E180" s="117" t="s">
        <v>97</v>
      </c>
      <c r="F180" s="109">
        <v>2021</v>
      </c>
      <c r="G180" s="173">
        <f>I180</f>
        <v>184750</v>
      </c>
      <c r="H180" s="111">
        <v>0</v>
      </c>
      <c r="I180" s="173">
        <v>184750</v>
      </c>
      <c r="J180" s="112"/>
      <c r="K180" s="34">
        <v>2054</v>
      </c>
      <c r="L180" s="72">
        <v>119499</v>
      </c>
      <c r="M180" s="33">
        <f t="shared" ref="M180:M182" si="17">I180-L180</f>
        <v>65251</v>
      </c>
    </row>
    <row r="181" spans="1:52" s="13" customFormat="1" ht="56.25" x14ac:dyDescent="0.3">
      <c r="A181" s="120"/>
      <c r="B181" s="244"/>
      <c r="C181" s="244"/>
      <c r="D181" s="183"/>
      <c r="E181" s="117" t="s">
        <v>163</v>
      </c>
      <c r="F181" s="109">
        <v>2021</v>
      </c>
      <c r="G181" s="173">
        <f>I181</f>
        <v>49356</v>
      </c>
      <c r="H181" s="111">
        <v>0</v>
      </c>
      <c r="I181" s="173">
        <v>49356</v>
      </c>
      <c r="J181" s="112"/>
      <c r="K181" s="57">
        <v>2111</v>
      </c>
      <c r="L181" s="72"/>
      <c r="M181" s="33">
        <f t="shared" si="17"/>
        <v>49356</v>
      </c>
    </row>
    <row r="182" spans="1:52" s="13" customFormat="1" ht="18.75" x14ac:dyDescent="0.3">
      <c r="A182" s="185" t="s">
        <v>212</v>
      </c>
      <c r="B182" s="187">
        <v>4030</v>
      </c>
      <c r="C182" s="187" t="s">
        <v>214</v>
      </c>
      <c r="D182" s="186" t="s">
        <v>213</v>
      </c>
      <c r="E182" s="117" t="s">
        <v>10</v>
      </c>
      <c r="F182" s="109">
        <v>2021</v>
      </c>
      <c r="G182" s="173">
        <v>79989</v>
      </c>
      <c r="H182" s="111">
        <v>0</v>
      </c>
      <c r="I182" s="173">
        <v>79989</v>
      </c>
      <c r="J182" s="112"/>
      <c r="K182" s="57">
        <v>2119</v>
      </c>
      <c r="L182" s="72"/>
      <c r="M182" s="33">
        <f t="shared" si="17"/>
        <v>79989</v>
      </c>
    </row>
    <row r="183" spans="1:52" ht="37.5" x14ac:dyDescent="0.3">
      <c r="A183" s="37">
        <v>1100000</v>
      </c>
      <c r="B183" s="168"/>
      <c r="C183" s="168"/>
      <c r="D183" s="169" t="s">
        <v>87</v>
      </c>
      <c r="E183" s="155"/>
      <c r="F183" s="148" t="s">
        <v>7</v>
      </c>
      <c r="G183" s="149" t="s">
        <v>7</v>
      </c>
      <c r="H183" s="149" t="s">
        <v>7</v>
      </c>
      <c r="I183" s="149">
        <f>SUM(I184:I185)</f>
        <v>36000</v>
      </c>
      <c r="J183" s="150" t="s">
        <v>7</v>
      </c>
      <c r="K183" s="50"/>
      <c r="L183" s="76"/>
      <c r="M183" s="33">
        <f t="shared" si="6"/>
        <v>36000</v>
      </c>
    </row>
    <row r="184" spans="1:52" s="13" customFormat="1" ht="56.25" x14ac:dyDescent="0.2">
      <c r="A184" s="104" t="s">
        <v>154</v>
      </c>
      <c r="B184" s="188" t="s">
        <v>72</v>
      </c>
      <c r="C184" s="189" t="s">
        <v>16</v>
      </c>
      <c r="D184" s="123" t="s">
        <v>74</v>
      </c>
      <c r="E184" s="108" t="s">
        <v>10</v>
      </c>
      <c r="F184" s="109">
        <v>2021</v>
      </c>
      <c r="G184" s="173">
        <v>0</v>
      </c>
      <c r="H184" s="111">
        <v>0</v>
      </c>
      <c r="I184" s="173">
        <v>18000</v>
      </c>
      <c r="J184" s="112"/>
      <c r="K184" s="34">
        <v>2108</v>
      </c>
      <c r="L184" s="72">
        <v>18000</v>
      </c>
      <c r="M184" s="33">
        <f t="shared" si="6"/>
        <v>0</v>
      </c>
      <c r="N184" s="13" t="s">
        <v>266</v>
      </c>
    </row>
    <row r="185" spans="1:52" s="13" customFormat="1" ht="37.5" x14ac:dyDescent="0.2">
      <c r="A185" s="104" t="s">
        <v>88</v>
      </c>
      <c r="B185" s="126">
        <v>5041</v>
      </c>
      <c r="C185" s="194" t="s">
        <v>90</v>
      </c>
      <c r="D185" s="195" t="s">
        <v>89</v>
      </c>
      <c r="E185" s="108" t="s">
        <v>10</v>
      </c>
      <c r="F185" s="109">
        <v>2021</v>
      </c>
      <c r="G185" s="110">
        <v>0</v>
      </c>
      <c r="H185" s="111">
        <v>0</v>
      </c>
      <c r="I185" s="110">
        <v>18000</v>
      </c>
      <c r="J185" s="112"/>
      <c r="K185" s="34">
        <v>2109</v>
      </c>
      <c r="L185" s="72">
        <v>18000</v>
      </c>
      <c r="M185" s="33">
        <f t="shared" si="6"/>
        <v>0</v>
      </c>
      <c r="N185" s="13" t="s">
        <v>266</v>
      </c>
    </row>
    <row r="186" spans="1:52" s="4" customFormat="1" ht="37.5" x14ac:dyDescent="0.3">
      <c r="A186" s="37">
        <v>3700000</v>
      </c>
      <c r="B186" s="236"/>
      <c r="C186" s="168"/>
      <c r="D186" s="169" t="s">
        <v>92</v>
      </c>
      <c r="E186" s="155"/>
      <c r="F186" s="148" t="s">
        <v>7</v>
      </c>
      <c r="G186" s="149" t="s">
        <v>7</v>
      </c>
      <c r="H186" s="149" t="s">
        <v>7</v>
      </c>
      <c r="I186" s="149">
        <f>I187</f>
        <v>134000</v>
      </c>
      <c r="J186" s="150" t="s">
        <v>7</v>
      </c>
      <c r="K186" s="82"/>
      <c r="L186" s="83"/>
      <c r="M186" s="84"/>
    </row>
    <row r="187" spans="1:52" s="13" customFormat="1" ht="45" customHeight="1" x14ac:dyDescent="0.3">
      <c r="A187" s="104" t="s">
        <v>91</v>
      </c>
      <c r="B187" s="188" t="s">
        <v>72</v>
      </c>
      <c r="C187" s="203" t="s">
        <v>16</v>
      </c>
      <c r="D187" s="123" t="s">
        <v>74</v>
      </c>
      <c r="E187" s="117" t="s">
        <v>96</v>
      </c>
      <c r="F187" s="109">
        <v>2021</v>
      </c>
      <c r="G187" s="110">
        <v>0</v>
      </c>
      <c r="H187" s="111">
        <v>0</v>
      </c>
      <c r="I187" s="110">
        <f>49000+50000+35000</f>
        <v>134000</v>
      </c>
      <c r="J187" s="112"/>
      <c r="K187" s="34">
        <v>2053</v>
      </c>
      <c r="L187" s="42">
        <f>87498+11460</f>
        <v>98958</v>
      </c>
      <c r="M187" s="33">
        <f t="shared" ref="M187" si="18">I187-L187</f>
        <v>35042</v>
      </c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 ht="20.25" x14ac:dyDescent="0.3">
      <c r="A188" s="246" t="s">
        <v>2</v>
      </c>
      <c r="B188" s="246" t="s">
        <v>2</v>
      </c>
      <c r="C188" s="246" t="s">
        <v>2</v>
      </c>
      <c r="D188" s="247" t="s">
        <v>21</v>
      </c>
      <c r="E188" s="246" t="s">
        <v>2</v>
      </c>
      <c r="F188" s="246" t="s">
        <v>2</v>
      </c>
      <c r="G188" s="246" t="s">
        <v>2</v>
      </c>
      <c r="H188" s="246" t="s">
        <v>2</v>
      </c>
      <c r="I188" s="248">
        <f>I69+I7</f>
        <v>319785856.71000004</v>
      </c>
      <c r="J188" s="246" t="s">
        <v>2</v>
      </c>
      <c r="K188" s="50"/>
      <c r="L188" s="51"/>
      <c r="M188" s="50"/>
    </row>
    <row r="189" spans="1:52" x14ac:dyDescent="0.2">
      <c r="B189" s="19"/>
      <c r="C189" s="19"/>
      <c r="D189" s="19"/>
      <c r="E189" s="19"/>
      <c r="F189" s="19"/>
      <c r="G189" s="19"/>
      <c r="H189" s="19"/>
      <c r="I189" s="20"/>
      <c r="J189" s="19"/>
    </row>
    <row r="190" spans="1:52" ht="18.75" x14ac:dyDescent="0.3">
      <c r="B190" s="19"/>
      <c r="C190" s="103" t="s">
        <v>78</v>
      </c>
      <c r="D190" s="103"/>
      <c r="E190" s="103"/>
      <c r="F190" s="103"/>
      <c r="G190" s="103"/>
      <c r="H190" s="59"/>
      <c r="I190" s="20"/>
      <c r="J190" s="19"/>
    </row>
    <row r="191" spans="1:52" x14ac:dyDescent="0.2">
      <c r="B191" s="19"/>
      <c r="C191" s="19"/>
      <c r="D191" s="19"/>
      <c r="E191" s="19"/>
      <c r="F191" s="19"/>
      <c r="G191" s="19"/>
      <c r="H191" s="19"/>
      <c r="I191" s="20"/>
      <c r="J191" s="19"/>
    </row>
    <row r="192" spans="1:52" x14ac:dyDescent="0.2">
      <c r="B192" s="19"/>
      <c r="C192" s="19"/>
      <c r="D192" s="19"/>
      <c r="E192" s="19"/>
      <c r="F192" s="19"/>
      <c r="G192" s="22"/>
      <c r="H192" s="22"/>
      <c r="I192" s="21"/>
      <c r="J192" s="19"/>
    </row>
    <row r="193" spans="2:10" ht="20.25" x14ac:dyDescent="0.3">
      <c r="B193" s="19"/>
      <c r="C193" s="19"/>
      <c r="D193" s="19"/>
      <c r="E193" s="23"/>
      <c r="F193" s="24"/>
      <c r="G193" s="25"/>
      <c r="H193" s="25"/>
      <c r="I193" s="26"/>
      <c r="J193" s="24"/>
    </row>
    <row r="194" spans="2:10" x14ac:dyDescent="0.2">
      <c r="E194" s="13"/>
      <c r="F194" s="13"/>
      <c r="G194" s="13"/>
      <c r="H194" s="13"/>
      <c r="I194" s="17"/>
      <c r="J194" s="13"/>
    </row>
    <row r="195" spans="2:10" x14ac:dyDescent="0.2">
      <c r="E195" s="13"/>
      <c r="F195" s="13"/>
      <c r="G195" s="18"/>
      <c r="H195" s="18"/>
      <c r="I195" s="17"/>
      <c r="J195" s="13"/>
    </row>
    <row r="196" spans="2:10" ht="18.75" x14ac:dyDescent="0.3">
      <c r="C196" s="102"/>
      <c r="D196" s="102"/>
      <c r="E196" s="102"/>
      <c r="F196" s="102"/>
      <c r="G196" s="102"/>
      <c r="H196" s="58"/>
      <c r="I196" s="17"/>
      <c r="J196" s="13"/>
    </row>
  </sheetData>
  <autoFilter ref="A8:AZ188"/>
  <mergeCells count="110">
    <mergeCell ref="C196:G196"/>
    <mergeCell ref="C190:G190"/>
    <mergeCell ref="D114:D115"/>
    <mergeCell ref="A164:J164"/>
    <mergeCell ref="A114:A115"/>
    <mergeCell ref="B114:B115"/>
    <mergeCell ref="C114:C115"/>
    <mergeCell ref="A144:C144"/>
    <mergeCell ref="A139:C139"/>
    <mergeCell ref="A140:A143"/>
    <mergeCell ref="B140:B143"/>
    <mergeCell ref="C140:C143"/>
    <mergeCell ref="D140:D143"/>
    <mergeCell ref="A180:A181"/>
    <mergeCell ref="B180:B181"/>
    <mergeCell ref="C180:C181"/>
    <mergeCell ref="D180:D181"/>
    <mergeCell ref="A177:J177"/>
    <mergeCell ref="D168:D173"/>
    <mergeCell ref="D74:D77"/>
    <mergeCell ref="A147:A163"/>
    <mergeCell ref="B147:B163"/>
    <mergeCell ref="C147:C163"/>
    <mergeCell ref="D147:D163"/>
    <mergeCell ref="D86:D88"/>
    <mergeCell ref="A96:A113"/>
    <mergeCell ref="B96:B113"/>
    <mergeCell ref="C96:C113"/>
    <mergeCell ref="D96:D113"/>
    <mergeCell ref="D93:D94"/>
    <mergeCell ref="A90:C90"/>
    <mergeCell ref="A92:C92"/>
    <mergeCell ref="C93:C94"/>
    <mergeCell ref="A93:A94"/>
    <mergeCell ref="B93:B94"/>
    <mergeCell ref="D83:J83"/>
    <mergeCell ref="A86:A88"/>
    <mergeCell ref="B86:B88"/>
    <mergeCell ref="C17:C18"/>
    <mergeCell ref="C36:C39"/>
    <mergeCell ref="C168:C173"/>
    <mergeCell ref="B168:B173"/>
    <mergeCell ref="A168:A173"/>
    <mergeCell ref="A19:A25"/>
    <mergeCell ref="B19:B25"/>
    <mergeCell ref="C19:C25"/>
    <mergeCell ref="D19:D25"/>
    <mergeCell ref="A44:A58"/>
    <mergeCell ref="B44:B58"/>
    <mergeCell ref="A40:C40"/>
    <mergeCell ref="A69:E69"/>
    <mergeCell ref="B32:B34"/>
    <mergeCell ref="C32:C34"/>
    <mergeCell ref="D32:D34"/>
    <mergeCell ref="A35:C35"/>
    <mergeCell ref="A36:A39"/>
    <mergeCell ref="E79:E80"/>
    <mergeCell ref="A79:A80"/>
    <mergeCell ref="B74:B77"/>
    <mergeCell ref="C74:C77"/>
    <mergeCell ref="A74:A77"/>
    <mergeCell ref="C44:C58"/>
    <mergeCell ref="G1:J1"/>
    <mergeCell ref="A4:J4"/>
    <mergeCell ref="A3:J3"/>
    <mergeCell ref="D17:D18"/>
    <mergeCell ref="D12:D13"/>
    <mergeCell ref="D27:D28"/>
    <mergeCell ref="D36:D39"/>
    <mergeCell ref="C12:C13"/>
    <mergeCell ref="A7:E7"/>
    <mergeCell ref="A29:C29"/>
    <mergeCell ref="A27:A28"/>
    <mergeCell ref="B27:B28"/>
    <mergeCell ref="C27:C28"/>
    <mergeCell ref="A26:C26"/>
    <mergeCell ref="A30:A31"/>
    <mergeCell ref="B30:B31"/>
    <mergeCell ref="A12:A13"/>
    <mergeCell ref="B12:B13"/>
    <mergeCell ref="C30:C31"/>
    <mergeCell ref="D30:D31"/>
    <mergeCell ref="A17:A18"/>
    <mergeCell ref="B17:B18"/>
    <mergeCell ref="B36:B39"/>
    <mergeCell ref="G2:J2"/>
    <mergeCell ref="C60:C63"/>
    <mergeCell ref="D60:D63"/>
    <mergeCell ref="A32:A34"/>
    <mergeCell ref="K139:M139"/>
    <mergeCell ref="A137:A138"/>
    <mergeCell ref="B137:B138"/>
    <mergeCell ref="C137:C138"/>
    <mergeCell ref="D137:D138"/>
    <mergeCell ref="A85:C85"/>
    <mergeCell ref="C79:C80"/>
    <mergeCell ref="B79:B80"/>
    <mergeCell ref="D79:D80"/>
    <mergeCell ref="A116:A136"/>
    <mergeCell ref="B116:B136"/>
    <mergeCell ref="C116:C136"/>
    <mergeCell ref="D116:D136"/>
    <mergeCell ref="F79:F80"/>
    <mergeCell ref="G79:G80"/>
    <mergeCell ref="H79:H80"/>
    <mergeCell ref="C86:C88"/>
    <mergeCell ref="A59:J59"/>
    <mergeCell ref="A60:A63"/>
    <mergeCell ref="B60:B63"/>
    <mergeCell ref="D44:D58"/>
  </mergeCells>
  <phoneticPr fontId="8" type="noConversion"/>
  <pageMargins left="0.19685039370078741" right="0.19685039370078741" top="0.39370078740157483" bottom="0.23622047244094491" header="0.31496062992125984" footer="0.31496062992125984"/>
  <pageSetup paperSize="9" scale="56" fitToHeight="0" orientation="landscape" verticalDpi="0" r:id="rId1"/>
  <rowBreaks count="8" manualBreakCount="8">
    <brk id="23" max="9" man="1"/>
    <brk id="46" max="9" man="1"/>
    <brk id="66" max="9" man="1"/>
    <brk id="86" max="9" man="1"/>
    <brk id="109" max="9" man="1"/>
    <brk id="132" max="9" man="1"/>
    <brk id="153" max="9" man="1"/>
    <brk id="17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DB-5</cp:lastModifiedBy>
  <cp:lastPrinted>2021-08-04T11:02:28Z</cp:lastPrinted>
  <dcterms:created xsi:type="dcterms:W3CDTF">2019-11-12T13:23:27Z</dcterms:created>
  <dcterms:modified xsi:type="dcterms:W3CDTF">2021-08-04T11:05:37Z</dcterms:modified>
</cp:coreProperties>
</file>